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7930" windowHeight="1447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'Sheet1'!$A$1:$N$92</definedName>
  </definedNames>
  <calcPr fullCalcOnLoad="1"/>
</workbook>
</file>

<file path=xl/sharedStrings.xml><?xml version="1.0" encoding="utf-8"?>
<sst xmlns="http://schemas.openxmlformats.org/spreadsheetml/2006/main" count="547" uniqueCount="351">
  <si>
    <t>Job#:</t>
  </si>
  <si>
    <t>SWL Name</t>
  </si>
  <si>
    <t>SHEAR WALL CALCULATOR</t>
  </si>
  <si>
    <t>SWL Length</t>
  </si>
  <si>
    <t>Holdown</t>
  </si>
  <si>
    <t>Anchor Bolt</t>
  </si>
  <si>
    <t>Embedment</t>
  </si>
  <si>
    <t>Studs</t>
  </si>
  <si>
    <t>Panels</t>
  </si>
  <si>
    <t>General Notes:</t>
  </si>
  <si>
    <t>3.  Uplift on holdowns calculated with dead load counter action neglected (conservative).</t>
  </si>
  <si>
    <t>Shear (lbs)</t>
  </si>
  <si>
    <t>Wall Hgt. (ft)</t>
  </si>
  <si>
    <t>Unit Shear (plf)</t>
  </si>
  <si>
    <t>Wall Length (ft)</t>
  </si>
  <si>
    <t>HDU4</t>
  </si>
  <si>
    <t>SB5/8X24</t>
  </si>
  <si>
    <t>(2) 2x6</t>
  </si>
  <si>
    <t>Shearwall Sheathing Specification:</t>
  </si>
  <si>
    <t>Nominal unit shear capacities from SDPWS Table 4.3A (Wood Frame Shear Walls)</t>
  </si>
  <si>
    <t>plf</t>
  </si>
  <si>
    <t>&lt;</t>
  </si>
  <si>
    <t>Anchor Bolt Spacing</t>
  </si>
  <si>
    <t>psf</t>
  </si>
  <si>
    <t>lbs</t>
  </si>
  <si>
    <t>g</t>
  </si>
  <si>
    <t>ka =</t>
  </si>
  <si>
    <t>(concrete is rigid)</t>
  </si>
  <si>
    <t>Applying adjustment factors:</t>
  </si>
  <si>
    <t>ft</t>
  </si>
  <si>
    <t>ρ =</t>
  </si>
  <si>
    <t>(out-of-plane)</t>
  </si>
  <si>
    <t>(wind or seismic)</t>
  </si>
  <si>
    <t>Out-of-Plane Seismic</t>
  </si>
  <si>
    <t>Wall Hgt. =</t>
  </si>
  <si>
    <t>Vsperp is given as the seismic force of half the dead weight of the wall.</t>
  </si>
  <si>
    <t>Out-of-Plane Wind</t>
  </si>
  <si>
    <t>(MWFRS)</t>
  </si>
  <si>
    <t>Vwperp is given as the max. MWFRS wind force on the bottom half of an exterior wall.</t>
  </si>
  <si>
    <t>Perp. Load</t>
  </si>
  <si>
    <t>Para. Load</t>
  </si>
  <si>
    <t># of Bolts</t>
  </si>
  <si>
    <t>AB Spacing</t>
  </si>
  <si>
    <t>V (lbs)</t>
  </si>
  <si>
    <t>Spacing (ft)</t>
  </si>
  <si>
    <t>HDU Allowables and Specs:</t>
  </si>
  <si>
    <t>DTT2Z</t>
  </si>
  <si>
    <t>Model</t>
  </si>
  <si>
    <t>AB DIA</t>
  </si>
  <si>
    <t>Wood Thk.</t>
  </si>
  <si>
    <t>Tension SPF/HF</t>
  </si>
  <si>
    <t>Deflection</t>
  </si>
  <si>
    <t>HDU2</t>
  </si>
  <si>
    <t>HDU5</t>
  </si>
  <si>
    <t>HDU8</t>
  </si>
  <si>
    <t>HDU11</t>
  </si>
  <si>
    <t>HDU14</t>
  </si>
  <si>
    <t>Simpson Anchor Bolts:</t>
  </si>
  <si>
    <t>Simpson Coupler Nuts:</t>
  </si>
  <si>
    <t>Rod DIA</t>
  </si>
  <si>
    <t>Tension</t>
  </si>
  <si>
    <t>CNW1/2</t>
  </si>
  <si>
    <t>CNW5/8</t>
  </si>
  <si>
    <t>CNW7/8</t>
  </si>
  <si>
    <t>CNW1</t>
  </si>
  <si>
    <t>DIA</t>
  </si>
  <si>
    <t>Length</t>
  </si>
  <si>
    <t>SSTB16</t>
  </si>
  <si>
    <t>SSTB20</t>
  </si>
  <si>
    <t>SB7/8X24</t>
  </si>
  <si>
    <t>SB1X30</t>
  </si>
  <si>
    <t>THD501200H</t>
  </si>
  <si>
    <t>* Tension values for stemwall at corner</t>
  </si>
  <si>
    <t>Stem Width</t>
  </si>
  <si>
    <t>ASCE 7-10 Sec. 12.11.2</t>
  </si>
  <si>
    <t>Unit Shear =</t>
  </si>
  <si>
    <t>Spacing =</t>
  </si>
  <si>
    <t>Panel #</t>
  </si>
  <si>
    <t>E =</t>
  </si>
  <si>
    <t>A =</t>
  </si>
  <si>
    <t>Gt =</t>
  </si>
  <si>
    <t>psi</t>
  </si>
  <si>
    <t>in</t>
  </si>
  <si>
    <t>nail spacing =</t>
  </si>
  <si>
    <t>Vs =</t>
  </si>
  <si>
    <t>Vw =</t>
  </si>
  <si>
    <t>(wind)</t>
  </si>
  <si>
    <t>(seismic)</t>
  </si>
  <si>
    <t>(based on strength-level seismic forces)</t>
  </si>
  <si>
    <t>6.  All holdowns over TJI floor, use CNW coupler nut and threaded rod for extension.  Solid squash blocks beneath all shearwall chords equal to chord cross section.</t>
  </si>
  <si>
    <t>1. For unblocked shearwalls w/ studs @ 16" o/c capacity is reduced by 0.6.</t>
  </si>
  <si>
    <t>Deflection Calculations</t>
  </si>
  <si>
    <t>Structural I</t>
  </si>
  <si>
    <t>lbs/nail</t>
  </si>
  <si>
    <t>(max. fastener load = 220 lbs/nail)</t>
  </si>
  <si>
    <t>Max. Defl.</t>
  </si>
  <si>
    <t>(Table C4.2.2D)</t>
  </si>
  <si>
    <t>(footnote 1)</t>
  </si>
  <si>
    <t>(Table 12.12-1)</t>
  </si>
  <si>
    <t>ASCE 7-10</t>
  </si>
  <si>
    <t>DF No. 2</t>
  </si>
  <si>
    <r>
      <t xml:space="preserve">plf </t>
    </r>
    <r>
      <rPr>
        <sz val="8"/>
        <color indexed="8"/>
        <rFont val="Arial"/>
        <family val="2"/>
      </rPr>
      <t>(Table C4.2.2A)</t>
    </r>
  </si>
  <si>
    <r>
      <t>in</t>
    </r>
    <r>
      <rPr>
        <sz val="8"/>
        <color indexed="8"/>
        <rFont val="Arial"/>
        <family val="2"/>
      </rPr>
      <t xml:space="preserve"> (Table C4.2.2D)</t>
    </r>
  </si>
  <si>
    <r>
      <t>V</t>
    </r>
    <r>
      <rPr>
        <sz val="8"/>
        <color indexed="8"/>
        <rFont val="Arial"/>
        <family val="2"/>
      </rPr>
      <t>n</t>
    </r>
  </si>
  <si>
    <r>
      <t>e</t>
    </r>
    <r>
      <rPr>
        <sz val="8"/>
        <color indexed="8"/>
        <rFont val="Arial"/>
        <family val="2"/>
      </rPr>
      <t>n</t>
    </r>
  </si>
  <si>
    <t>A35</t>
  </si>
  <si>
    <t>AB DIA =</t>
  </si>
  <si>
    <t>Zpara =</t>
  </si>
  <si>
    <t>Zperp =</t>
  </si>
  <si>
    <t>CD =</t>
  </si>
  <si>
    <t>WDL =</t>
  </si>
  <si>
    <t>Ww =</t>
  </si>
  <si>
    <t>SDS =</t>
  </si>
  <si>
    <r>
      <t>L</t>
    </r>
    <r>
      <rPr>
        <sz val="8"/>
        <color indexed="8"/>
        <rFont val="Arial"/>
        <family val="2"/>
      </rPr>
      <t>trib =</t>
    </r>
  </si>
  <si>
    <t>Ie =</t>
  </si>
  <si>
    <r>
      <t>V</t>
    </r>
    <r>
      <rPr>
        <vertAlign val="subscript"/>
        <sz val="8"/>
        <rFont val="Arial"/>
        <family val="2"/>
      </rPr>
      <t>sperp</t>
    </r>
    <r>
      <rPr>
        <sz val="8"/>
        <rFont val="Arial"/>
        <family val="2"/>
      </rPr>
      <t xml:space="preserve"> =</t>
    </r>
  </si>
  <si>
    <r>
      <t>V</t>
    </r>
    <r>
      <rPr>
        <vertAlign val="subscript"/>
        <sz val="8"/>
        <rFont val="Arial"/>
        <family val="2"/>
      </rPr>
      <t>perp</t>
    </r>
    <r>
      <rPr>
        <sz val="8"/>
        <rFont val="Arial"/>
        <family val="2"/>
      </rPr>
      <t xml:space="preserve"> =</t>
    </r>
  </si>
  <si>
    <r>
      <t>V</t>
    </r>
    <r>
      <rPr>
        <vertAlign val="subscript"/>
        <sz val="8"/>
        <rFont val="Arial"/>
        <family val="2"/>
      </rPr>
      <t>wperp</t>
    </r>
    <r>
      <rPr>
        <sz val="8"/>
        <rFont val="Arial"/>
        <family val="2"/>
      </rPr>
      <t xml:space="preserve"> =</t>
    </r>
  </si>
  <si>
    <r>
      <t xml:space="preserve">2.  All stemwall foundations walls with HDU8 or greater holdown (anchor bolt </t>
    </r>
    <r>
      <rPr>
        <sz val="7"/>
        <color indexed="8"/>
        <rFont val="Calibri"/>
        <family val="2"/>
      </rPr>
      <t>≥ 7/8" DIA) shall be 8" min. thickness.</t>
    </r>
  </si>
  <si>
    <t>Fallow =</t>
  </si>
  <si>
    <r>
      <rPr>
        <sz val="8"/>
        <color indexed="8"/>
        <rFont val="Arial"/>
        <family val="2"/>
      </rPr>
      <t>Δs</t>
    </r>
  </si>
  <si>
    <r>
      <rPr>
        <sz val="8"/>
        <color indexed="8"/>
        <rFont val="Arial"/>
        <family val="2"/>
      </rPr>
      <t>Δb</t>
    </r>
  </si>
  <si>
    <r>
      <rPr>
        <sz val="8"/>
        <color indexed="8"/>
        <rFont val="Arial"/>
        <family val="2"/>
      </rPr>
      <t>Δv</t>
    </r>
  </si>
  <si>
    <r>
      <rPr>
        <sz val="8"/>
        <color indexed="8"/>
        <rFont val="Arial"/>
        <family val="2"/>
      </rPr>
      <t>Δn</t>
    </r>
  </si>
  <si>
    <r>
      <rPr>
        <sz val="8"/>
        <color indexed="8"/>
        <rFont val="Arial"/>
        <family val="2"/>
      </rPr>
      <t>Δa</t>
    </r>
  </si>
  <si>
    <r>
      <t>in</t>
    </r>
    <r>
      <rPr>
        <vertAlign val="superscript"/>
        <sz val="8"/>
        <color indexed="8"/>
        <rFont val="Arial"/>
        <family val="2"/>
      </rPr>
      <t>2</t>
    </r>
  </si>
  <si>
    <r>
      <t>d</t>
    </r>
    <r>
      <rPr>
        <sz val="8"/>
        <color indexed="8"/>
        <rFont val="Arial"/>
        <family val="2"/>
      </rPr>
      <t>a =</t>
    </r>
  </si>
  <si>
    <t>en =</t>
  </si>
  <si>
    <r>
      <t>C</t>
    </r>
    <r>
      <rPr>
        <sz val="8"/>
        <color indexed="8"/>
        <rFont val="Arial"/>
        <family val="2"/>
      </rPr>
      <t>d =</t>
    </r>
  </si>
  <si>
    <r>
      <t>e</t>
    </r>
    <r>
      <rPr>
        <sz val="8"/>
        <color indexed="8"/>
        <rFont val="Arial"/>
        <family val="2"/>
      </rPr>
      <t>n base</t>
    </r>
  </si>
  <si>
    <r>
      <t>Δ</t>
    </r>
    <r>
      <rPr>
        <sz val="8"/>
        <color indexed="8"/>
        <rFont val="Arial"/>
        <family val="2"/>
      </rPr>
      <t xml:space="preserve"> =</t>
    </r>
  </si>
  <si>
    <r>
      <t>e</t>
    </r>
    <r>
      <rPr>
        <sz val="8"/>
        <color indexed="8"/>
        <rFont val="Arial"/>
        <family val="2"/>
      </rPr>
      <t>n exp</t>
    </r>
  </si>
  <si>
    <r>
      <rPr>
        <sz val="8"/>
        <color indexed="8"/>
        <rFont val="Arial"/>
        <family val="2"/>
      </rPr>
      <t>Δlimit =</t>
    </r>
  </si>
  <si>
    <r>
      <t>v</t>
    </r>
    <r>
      <rPr>
        <vertAlign val="subscript"/>
        <sz val="8"/>
        <rFont val="Arial"/>
        <family val="2"/>
      </rPr>
      <t>w</t>
    </r>
    <r>
      <rPr>
        <sz val="8"/>
        <rFont val="Arial"/>
        <family val="2"/>
      </rPr>
      <t xml:space="preserve"> =</t>
    </r>
  </si>
  <si>
    <r>
      <t>v</t>
    </r>
    <r>
      <rPr>
        <vertAlign val="subscript"/>
        <sz val="7"/>
        <rFont val="Arial"/>
        <family val="2"/>
      </rPr>
      <t>s</t>
    </r>
    <r>
      <rPr>
        <sz val="8"/>
        <rFont val="Arial"/>
        <family val="2"/>
      </rPr>
      <t xml:space="preserve"> =</t>
    </r>
  </si>
  <si>
    <r>
      <t>v</t>
    </r>
    <r>
      <rPr>
        <vertAlign val="subscript"/>
        <sz val="8"/>
        <rFont val="Arial"/>
        <family val="2"/>
      </rPr>
      <t>allow</t>
    </r>
    <r>
      <rPr>
        <sz val="8"/>
        <rFont val="Arial"/>
        <family val="2"/>
      </rPr>
      <t xml:space="preserve"> =</t>
    </r>
  </si>
  <si>
    <t>Nail Spacing</t>
  </si>
  <si>
    <t>Sheathing both sides =</t>
  </si>
  <si>
    <t>Both Sides</t>
  </si>
  <si>
    <t>YES</t>
  </si>
  <si>
    <t>NO</t>
  </si>
  <si>
    <t>Table 4.3A</t>
  </si>
  <si>
    <t>Seismic</t>
  </si>
  <si>
    <t>Edge Nail Spacing =</t>
  </si>
  <si>
    <t>Panel Thickness</t>
  </si>
  <si>
    <t>7/16</t>
  </si>
  <si>
    <t>15/32</t>
  </si>
  <si>
    <t>Fastener Type =</t>
  </si>
  <si>
    <t>8d</t>
  </si>
  <si>
    <t>7/16 OSB w/ 8d nails</t>
  </si>
  <si>
    <t>Wind</t>
  </si>
  <si>
    <t>Seismic Nominal</t>
  </si>
  <si>
    <t>Wind Nominal</t>
  </si>
  <si>
    <t>Sheathing Messages</t>
  </si>
  <si>
    <t>Msg1</t>
  </si>
  <si>
    <t>Msg2</t>
  </si>
  <si>
    <t>Msg3</t>
  </si>
  <si>
    <t>OSB w/ 8d nails</t>
  </si>
  <si>
    <t>APA Grade</t>
  </si>
  <si>
    <t>Chord Area Table</t>
  </si>
  <si>
    <t>(1) 2x6</t>
  </si>
  <si>
    <t>(3) 2x6</t>
  </si>
  <si>
    <t>(4) 2x6</t>
  </si>
  <si>
    <t>4x6</t>
  </si>
  <si>
    <t>6x6</t>
  </si>
  <si>
    <t>4x4</t>
  </si>
  <si>
    <t>6x8</t>
  </si>
  <si>
    <t>(1) 2x4</t>
  </si>
  <si>
    <t>(2) 2x4</t>
  </si>
  <si>
    <t>(3) 2x4</t>
  </si>
  <si>
    <r>
      <t xml:space="preserve">ft </t>
    </r>
    <r>
      <rPr>
        <sz val="7"/>
        <color indexed="8"/>
        <rFont val="Arial"/>
        <family val="2"/>
      </rPr>
      <t>(available collector length)</t>
    </r>
  </si>
  <si>
    <r>
      <t>L</t>
    </r>
    <r>
      <rPr>
        <sz val="7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= </t>
    </r>
  </si>
  <si>
    <r>
      <t>L</t>
    </r>
    <r>
      <rPr>
        <sz val="7"/>
        <rFont val="Arial"/>
        <family val="2"/>
      </rPr>
      <t>a</t>
    </r>
    <r>
      <rPr>
        <sz val="8"/>
        <rFont val="Arial"/>
        <family val="2"/>
      </rPr>
      <t xml:space="preserve"> = available wall length for anchor bolts</t>
    </r>
  </si>
  <si>
    <r>
      <t>L</t>
    </r>
    <r>
      <rPr>
        <sz val="7"/>
        <color indexed="8"/>
        <rFont val="Arial"/>
        <family val="2"/>
      </rPr>
      <t>ac</t>
    </r>
    <r>
      <rPr>
        <sz val="8"/>
        <color indexed="8"/>
        <rFont val="Arial"/>
        <family val="2"/>
      </rPr>
      <t xml:space="preserve"> = </t>
    </r>
  </si>
  <si>
    <t>(1) 2x8</t>
  </si>
  <si>
    <t>(2) 2x8</t>
  </si>
  <si>
    <t>(3) 2x8</t>
  </si>
  <si>
    <t>Sht. both sides =</t>
  </si>
  <si>
    <t>b non-zero</t>
  </si>
  <si>
    <t>b (ft)</t>
  </si>
  <si>
    <r>
      <t>Min. Panel Length: b</t>
    </r>
    <r>
      <rPr>
        <sz val="7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=</t>
    </r>
  </si>
  <si>
    <r>
      <t>Max. AR: h/b</t>
    </r>
    <r>
      <rPr>
        <sz val="7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=</t>
    </r>
  </si>
  <si>
    <t>SWL length</t>
  </si>
  <si>
    <t>CHECKSUM of SWL PANELS</t>
  </si>
  <si>
    <t>b sum</t>
  </si>
  <si>
    <t>Framing Angles and Plates</t>
  </si>
  <si>
    <t>A34</t>
  </si>
  <si>
    <t>LTP4</t>
  </si>
  <si>
    <t>LTP5</t>
  </si>
  <si>
    <t>F1</t>
  </si>
  <si>
    <t>G</t>
  </si>
  <si>
    <t>Provide full depth blocking with A35 clips to top plt. per plan.</t>
  </si>
  <si>
    <t>Provide positive connection btw. sheathing with LTP5 clips per plan.</t>
  </si>
  <si>
    <t>Provide full depth blocking with A34 clips to top plt. per plan.</t>
  </si>
  <si>
    <t>Provide positive connection btw. sheathing with LTP4 clips per plan.</t>
  </si>
  <si>
    <t>Framing Angle Spacing</t>
  </si>
  <si>
    <t>Framing Plate Spacing</t>
  </si>
  <si>
    <t>Allowable</t>
  </si>
  <si>
    <t>Z Parallel</t>
  </si>
  <si>
    <t>Z Perp.</t>
  </si>
  <si>
    <t>Anchor Bolts</t>
  </si>
  <si>
    <t>Since we cannot control species of pressure treated sill plate assume weakest species from NDS 2012 Table 11E for anchor bolts (Northern Species G = 0.35):</t>
  </si>
  <si>
    <t>Adj. Values</t>
  </si>
  <si>
    <t>AR</t>
  </si>
  <si>
    <t>Reduction</t>
  </si>
  <si>
    <t>(nominal)</t>
  </si>
  <si>
    <t>Total</t>
  </si>
  <si>
    <t>Avg. Allow</t>
  </si>
  <si>
    <t>b x Allowable</t>
  </si>
  <si>
    <r>
      <t>Max. AR Seismic Reduction: 2b</t>
    </r>
    <r>
      <rPr>
        <sz val="7"/>
        <color indexed="8"/>
        <rFont val="Arial"/>
        <family val="2"/>
      </rPr>
      <t>s</t>
    </r>
    <r>
      <rPr>
        <sz val="8"/>
        <color indexed="8"/>
        <rFont val="Arial"/>
        <family val="2"/>
      </rPr>
      <t>/h =</t>
    </r>
  </si>
  <si>
    <t>Bearing on Wall Plates</t>
  </si>
  <si>
    <t>HF</t>
  </si>
  <si>
    <t>Top/Sill Plt. Species</t>
  </si>
  <si>
    <t>Plate Type</t>
  </si>
  <si>
    <t>DF</t>
  </si>
  <si>
    <r>
      <t>Fc</t>
    </r>
    <r>
      <rPr>
        <sz val="8"/>
        <rFont val="Arial Unicode MS"/>
        <family val="2"/>
      </rPr>
      <t>⊥</t>
    </r>
  </si>
  <si>
    <t>Cb</t>
  </si>
  <si>
    <r>
      <t>F</t>
    </r>
    <r>
      <rPr>
        <sz val="7"/>
        <rFont val="Arial"/>
        <family val="2"/>
      </rPr>
      <t>c</t>
    </r>
    <r>
      <rPr>
        <sz val="8"/>
        <rFont val="Arial Unicode MS"/>
        <family val="2"/>
      </rPr>
      <t>⊥</t>
    </r>
    <r>
      <rPr>
        <sz val="8"/>
        <rFont val="Arial"/>
        <family val="2"/>
      </rPr>
      <t>'</t>
    </r>
  </si>
  <si>
    <r>
      <t>f</t>
    </r>
    <r>
      <rPr>
        <sz val="7"/>
        <rFont val="Arial"/>
        <family val="2"/>
      </rPr>
      <t>c</t>
    </r>
    <r>
      <rPr>
        <sz val="8"/>
        <rFont val="Arial Unicode MS"/>
        <family val="2"/>
      </rPr>
      <t>⊥</t>
    </r>
  </si>
  <si>
    <t>Pc</t>
  </si>
  <si>
    <r>
      <t>in</t>
    </r>
    <r>
      <rPr>
        <vertAlign val="superscript"/>
        <sz val="8"/>
        <rFont val="Arial"/>
        <family val="2"/>
      </rPr>
      <t>2</t>
    </r>
  </si>
  <si>
    <r>
      <t>A</t>
    </r>
    <r>
      <rPr>
        <sz val="7"/>
        <rFont val="Arial"/>
        <family val="2"/>
      </rPr>
      <t>b</t>
    </r>
  </si>
  <si>
    <r>
      <t>W</t>
    </r>
    <r>
      <rPr>
        <sz val="6"/>
        <color indexed="8"/>
        <rFont val="Arial"/>
        <family val="2"/>
      </rPr>
      <t>DL</t>
    </r>
  </si>
  <si>
    <t>Wall Loads</t>
  </si>
  <si>
    <t>(plf)</t>
  </si>
  <si>
    <t>(lbs)</t>
  </si>
  <si>
    <t>Point loads</t>
  </si>
  <si>
    <r>
      <t>W</t>
    </r>
    <r>
      <rPr>
        <sz val="6"/>
        <color indexed="8"/>
        <rFont val="Arial"/>
        <family val="2"/>
      </rPr>
      <t>LL</t>
    </r>
  </si>
  <si>
    <r>
      <t>W</t>
    </r>
    <r>
      <rPr>
        <sz val="6"/>
        <color indexed="8"/>
        <rFont val="Arial"/>
        <family val="2"/>
      </rPr>
      <t>SL/</t>
    </r>
    <r>
      <rPr>
        <sz val="8"/>
        <color indexed="8"/>
        <rFont val="Arial"/>
        <family val="2"/>
      </rPr>
      <t>W</t>
    </r>
    <r>
      <rPr>
        <sz val="6"/>
        <color indexed="8"/>
        <rFont val="Arial"/>
        <family val="2"/>
      </rPr>
      <t>LrL</t>
    </r>
  </si>
  <si>
    <t>Shearwall Gravity Loads</t>
  </si>
  <si>
    <t>Stud Spacing =</t>
  </si>
  <si>
    <t>Stud Spacing</t>
  </si>
  <si>
    <t>Wind ASD Load Cases from ASCE 7-10:</t>
  </si>
  <si>
    <t>Seismic ASD Load Cases from ASCE 7-10:</t>
  </si>
  <si>
    <t>5.) D + E =</t>
  </si>
  <si>
    <t>5.) D + W =</t>
  </si>
  <si>
    <t>6a.) D + .75L + .75W + 75(Lr or S) =</t>
  </si>
  <si>
    <t>6b.) D + .75L + .75E + 75S =</t>
  </si>
  <si>
    <r>
      <t>P</t>
    </r>
    <r>
      <rPr>
        <sz val="7"/>
        <color indexed="8"/>
        <rFont val="Arial"/>
        <family val="2"/>
      </rPr>
      <t>w</t>
    </r>
    <r>
      <rPr>
        <sz val="8"/>
        <color indexed="8"/>
        <rFont val="Arial"/>
        <family val="2"/>
      </rPr>
      <t xml:space="preserve"> =</t>
    </r>
  </si>
  <si>
    <r>
      <t>P</t>
    </r>
    <r>
      <rPr>
        <sz val="7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=</t>
    </r>
  </si>
  <si>
    <t>SWL Chord Comp. =</t>
  </si>
  <si>
    <t>CSI (bearing)</t>
  </si>
  <si>
    <t>Chord in Tension</t>
  </si>
  <si>
    <t>Chord Properties (DF No.2)</t>
  </si>
  <si>
    <t>Size</t>
  </si>
  <si>
    <t>(DF No. 2)</t>
  </si>
  <si>
    <r>
      <t>C</t>
    </r>
    <r>
      <rPr>
        <sz val="7"/>
        <rFont val="Arial"/>
        <family val="2"/>
      </rPr>
      <t>D</t>
    </r>
  </si>
  <si>
    <r>
      <t>C</t>
    </r>
    <r>
      <rPr>
        <sz val="7"/>
        <rFont val="Arial"/>
        <family val="2"/>
      </rPr>
      <t>F_t</t>
    </r>
  </si>
  <si>
    <t>Ft</t>
  </si>
  <si>
    <t>Fc</t>
  </si>
  <si>
    <t>Emin</t>
  </si>
  <si>
    <t>E</t>
  </si>
  <si>
    <t>Chord in Compression</t>
  </si>
  <si>
    <r>
      <t>C</t>
    </r>
    <r>
      <rPr>
        <sz val="7"/>
        <color indexed="8"/>
        <rFont val="Arial"/>
        <family val="2"/>
      </rPr>
      <t>FT</t>
    </r>
  </si>
  <si>
    <r>
      <t>C</t>
    </r>
    <r>
      <rPr>
        <sz val="7"/>
        <color indexed="8"/>
        <rFont val="Arial"/>
        <family val="2"/>
      </rPr>
      <t>FC</t>
    </r>
  </si>
  <si>
    <r>
      <t>C</t>
    </r>
    <r>
      <rPr>
        <sz val="7"/>
        <rFont val="Arial"/>
        <family val="2"/>
      </rPr>
      <t>M_t</t>
    </r>
  </si>
  <si>
    <r>
      <t>C</t>
    </r>
    <r>
      <rPr>
        <sz val="7"/>
        <rFont val="Arial"/>
        <family val="2"/>
      </rPr>
      <t>t_t</t>
    </r>
  </si>
  <si>
    <t>Ci_t</t>
  </si>
  <si>
    <r>
      <t>C</t>
    </r>
    <r>
      <rPr>
        <sz val="7"/>
        <rFont val="Arial"/>
        <family val="2"/>
      </rPr>
      <t>t_c⊥</t>
    </r>
  </si>
  <si>
    <r>
      <t>C</t>
    </r>
    <r>
      <rPr>
        <sz val="7"/>
        <rFont val="Arial"/>
        <family val="2"/>
      </rPr>
      <t>M_c⊥</t>
    </r>
  </si>
  <si>
    <r>
      <t>C</t>
    </r>
    <r>
      <rPr>
        <sz val="7"/>
        <rFont val="Arial"/>
        <family val="2"/>
      </rPr>
      <t>M_c</t>
    </r>
  </si>
  <si>
    <r>
      <t>C</t>
    </r>
    <r>
      <rPr>
        <sz val="7"/>
        <rFont val="Arial"/>
        <family val="2"/>
      </rPr>
      <t>t_c</t>
    </r>
  </si>
  <si>
    <t>Ci_c</t>
  </si>
  <si>
    <r>
      <t>C</t>
    </r>
    <r>
      <rPr>
        <sz val="7"/>
        <rFont val="Arial"/>
        <family val="2"/>
      </rPr>
      <t>F_c</t>
    </r>
  </si>
  <si>
    <t>(le/d)x</t>
  </si>
  <si>
    <r>
      <t>E'</t>
    </r>
    <r>
      <rPr>
        <sz val="7"/>
        <rFont val="Arial"/>
        <family val="2"/>
      </rPr>
      <t>min</t>
    </r>
  </si>
  <si>
    <r>
      <t>F</t>
    </r>
    <r>
      <rPr>
        <sz val="7"/>
        <rFont val="Arial"/>
        <family val="2"/>
      </rPr>
      <t>cE</t>
    </r>
  </si>
  <si>
    <r>
      <t>F</t>
    </r>
    <r>
      <rPr>
        <sz val="7"/>
        <rFont val="Arial"/>
        <family val="2"/>
      </rPr>
      <t>c</t>
    </r>
    <r>
      <rPr>
        <sz val="8"/>
        <rFont val="Arial"/>
        <family val="2"/>
      </rPr>
      <t>*</t>
    </r>
  </si>
  <si>
    <t>c</t>
  </si>
  <si>
    <t>sawn lumber</t>
  </si>
  <si>
    <t>FcE/Fc*</t>
  </si>
  <si>
    <t>1 + FcE/Fc*/2c</t>
  </si>
  <si>
    <t>Cp</t>
  </si>
  <si>
    <t>Fc'</t>
  </si>
  <si>
    <t>fc</t>
  </si>
  <si>
    <t>CSI (tension)</t>
  </si>
  <si>
    <t>CSI (compression)</t>
  </si>
  <si>
    <r>
      <t>A</t>
    </r>
    <r>
      <rPr>
        <sz val="7"/>
        <rFont val="Arial"/>
        <family val="2"/>
      </rPr>
      <t>n</t>
    </r>
  </si>
  <si>
    <t>Chord Studs =</t>
  </si>
  <si>
    <t>Ft'</t>
  </si>
  <si>
    <r>
      <t>F</t>
    </r>
    <r>
      <rPr>
        <sz val="7"/>
        <rFont val="Arial"/>
        <family val="2"/>
      </rPr>
      <t>c</t>
    </r>
  </si>
  <si>
    <r>
      <t>f</t>
    </r>
    <r>
      <rPr>
        <sz val="7"/>
        <rFont val="Arial"/>
        <family val="2"/>
      </rPr>
      <t>t</t>
    </r>
  </si>
  <si>
    <t>Stud Depth</t>
  </si>
  <si>
    <t>Chord Depth (dx) =</t>
  </si>
  <si>
    <t>Emin =</t>
  </si>
  <si>
    <r>
      <t>C</t>
    </r>
    <r>
      <rPr>
        <sz val="7"/>
        <rFont val="Arial"/>
        <family val="2"/>
      </rPr>
      <t>M_e</t>
    </r>
    <r>
      <rPr>
        <sz val="8"/>
        <rFont val="Arial"/>
        <family val="2"/>
      </rPr>
      <t xml:space="preserve"> =</t>
    </r>
  </si>
  <si>
    <r>
      <t>C</t>
    </r>
    <r>
      <rPr>
        <sz val="7"/>
        <rFont val="Arial"/>
        <family val="2"/>
      </rPr>
      <t>t_e</t>
    </r>
    <r>
      <rPr>
        <sz val="8"/>
        <rFont val="Arial"/>
        <family val="2"/>
      </rPr>
      <t xml:space="preserve"> =</t>
    </r>
  </si>
  <si>
    <t>(Point loads are assumed to bear directly above SWL chord)</t>
  </si>
  <si>
    <t>This section is only applicable when shearwall is framed on top of a wood joist or TJI floor.</t>
  </si>
  <si>
    <t>(NDS 2012 Table 11Q for 16d nail, DF G = 0.5)</t>
  </si>
  <si>
    <t>Z =</t>
  </si>
  <si>
    <t>Z' =</t>
  </si>
  <si>
    <r>
      <t>l</t>
    </r>
    <r>
      <rPr>
        <sz val="7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=</t>
    </r>
  </si>
  <si>
    <t>lb</t>
  </si>
  <si>
    <t>Sht. Panel Thickness =</t>
  </si>
  <si>
    <t>Sill Plate:</t>
  </si>
  <si>
    <t>Sill Plate</t>
  </si>
  <si>
    <t>(1)-2x</t>
  </si>
  <si>
    <t>(1)-3x</t>
  </si>
  <si>
    <t>(2)-2x</t>
  </si>
  <si>
    <t>(3)-2x</t>
  </si>
  <si>
    <t>Use 1/2" DIA anchor bolts, 7" min. embedment /w 3"x3"x1/4" washers @ 48" o/c spacing all of Wall 2.</t>
  </si>
  <si>
    <t>Nail 2x bottom plate to rim joist below w/ 16d nails @ 4" o/c spacing.</t>
  </si>
  <si>
    <t>Sill Plate at Foundation</t>
  </si>
  <si>
    <t>plate</t>
  </si>
  <si>
    <t>plates</t>
  </si>
  <si>
    <t>Bottom Plate (Sole Plt.) Attachment to Floor</t>
  </si>
  <si>
    <t>Holdown Deflections:</t>
  </si>
  <si>
    <t>STHD10</t>
  </si>
  <si>
    <t>STHD10RJ</t>
  </si>
  <si>
    <t>STHD14</t>
  </si>
  <si>
    <t>STHD14RJ</t>
  </si>
  <si>
    <t>Tension DF/SP</t>
  </si>
  <si>
    <t>thickness</t>
  </si>
  <si>
    <r>
      <t xml:space="preserve">in 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(Simpson Holdown)</t>
    </r>
  </si>
  <si>
    <r>
      <rPr>
        <b/>
        <sz val="8"/>
        <color indexed="8"/>
        <rFont val="Arial"/>
        <family val="2"/>
      </rPr>
      <t>Δs</t>
    </r>
  </si>
  <si>
    <t>NS</t>
  </si>
  <si>
    <r>
      <t>P</t>
    </r>
    <r>
      <rPr>
        <sz val="6"/>
        <color indexed="8"/>
        <rFont val="Arial"/>
        <family val="2"/>
      </rPr>
      <t>DL</t>
    </r>
  </si>
  <si>
    <r>
      <t>P</t>
    </r>
    <r>
      <rPr>
        <sz val="6"/>
        <color indexed="8"/>
        <rFont val="Arial"/>
        <family val="2"/>
      </rPr>
      <t>LL</t>
    </r>
  </si>
  <si>
    <r>
      <t>P</t>
    </r>
    <r>
      <rPr>
        <sz val="6"/>
        <color indexed="8"/>
        <rFont val="Arial"/>
        <family val="2"/>
      </rPr>
      <t>SL/</t>
    </r>
    <r>
      <rPr>
        <sz val="8"/>
        <color indexed="8"/>
        <rFont val="Arial"/>
        <family val="2"/>
      </rPr>
      <t>P</t>
    </r>
    <r>
      <rPr>
        <sz val="6"/>
        <color indexed="8"/>
        <rFont val="Arial"/>
        <family val="2"/>
      </rPr>
      <t>LrL</t>
    </r>
  </si>
  <si>
    <t>Shearwall Type</t>
  </si>
  <si>
    <t>PERF</t>
  </si>
  <si>
    <t>FTAO</t>
  </si>
  <si>
    <t>SEGMENT</t>
  </si>
  <si>
    <t>Panel Count</t>
  </si>
  <si>
    <r>
      <t>P</t>
    </r>
    <r>
      <rPr>
        <sz val="6"/>
        <color indexed="8"/>
        <rFont val="Arial"/>
        <family val="2"/>
      </rPr>
      <t>W (+/-)</t>
    </r>
  </si>
  <si>
    <r>
      <t>P</t>
    </r>
    <r>
      <rPr>
        <sz val="6"/>
        <color indexed="8"/>
        <rFont val="Arial"/>
        <family val="2"/>
      </rPr>
      <t>S (+/-)</t>
    </r>
  </si>
  <si>
    <t>* SWL Chord Tension =</t>
  </si>
  <si>
    <t>Typical Callouts</t>
  </si>
  <si>
    <t>Anchor Bolts Not Applicable, 2nd Story Shearwall.</t>
  </si>
  <si>
    <t>1)</t>
  </si>
  <si>
    <t>2)</t>
  </si>
  <si>
    <t>3)</t>
  </si>
  <si>
    <t>*Only applicable at first story shearwalls.</t>
  </si>
  <si>
    <t>4.  Where the required nominal unit shear capacity on either side of a shear wall exceeds 700 plf in SDC D framing members at adjacent panel edges shall be 3X or double 2X.</t>
  </si>
  <si>
    <r>
      <t>v</t>
    </r>
    <r>
      <rPr>
        <vertAlign val="subscript"/>
        <sz val="8"/>
        <color indexed="8"/>
        <rFont val="Arial"/>
        <family val="2"/>
      </rPr>
      <t>u</t>
    </r>
    <r>
      <rPr>
        <sz val="8"/>
        <color indexed="8"/>
        <rFont val="Arial"/>
        <family val="2"/>
      </rPr>
      <t xml:space="preserve"> =</t>
    </r>
  </si>
  <si>
    <t>Use A35 clips for top plt./blocking connection @ 48" o/c spacing.</t>
  </si>
  <si>
    <t>2016-017</t>
  </si>
  <si>
    <t>Copyright © 2016 - Medeek Engineering Inc.</t>
  </si>
  <si>
    <t>Rev. 1.9.2 - 07/20/2015</t>
  </si>
  <si>
    <t>H1</t>
  </si>
  <si>
    <t>Provide full depth blocking with H1 ties to top plt. per plan.</t>
  </si>
  <si>
    <t>Hurricane Tie Spacing</t>
  </si>
  <si>
    <t>ft    Spacing =</t>
  </si>
  <si>
    <t>Req. Spacing =</t>
  </si>
  <si>
    <t>in o/c</t>
  </si>
  <si>
    <t>4)</t>
  </si>
  <si>
    <t>Framing Angles, Ties and Plates Messages</t>
  </si>
  <si>
    <t>(avg. wall height shown)</t>
  </si>
  <si>
    <t>SWLA</t>
  </si>
  <si>
    <t>Use 5/8" DIA anchor bolts, 7" min. embedment /w 3"x3"x1/4" washers @ 24" o/c spacing along all of Wall 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</si>
</sst>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vertAlign val="subscript"/>
      <sz val="8"/>
      <name val="Arial"/>
      <family val="2"/>
    </font>
    <font>
      <sz val="7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bscript"/>
      <sz val="7"/>
      <name val="Arial"/>
      <family val="2"/>
    </font>
    <font>
      <sz val="7"/>
      <color indexed="8"/>
      <name val="Arial"/>
      <family val="2"/>
    </font>
    <font>
      <sz val="8"/>
      <name val="Arial Unicode MS"/>
      <family val="2"/>
    </font>
    <font>
      <vertAlign val="superscript"/>
      <sz val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17"/>
      <name val="Arial"/>
      <family val="2"/>
    </font>
    <font>
      <u val="single"/>
      <sz val="7"/>
      <color indexed="8"/>
      <name val="Arial"/>
      <family val="2"/>
    </font>
    <font>
      <sz val="8"/>
      <color indexed="60"/>
      <name val="Arial"/>
      <family val="2"/>
    </font>
    <font>
      <sz val="7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Calibri"/>
      <family val="2"/>
    </font>
    <font>
      <b/>
      <sz val="8"/>
      <color rgb="FF007A37"/>
      <name val="Arial"/>
      <family val="2"/>
    </font>
    <font>
      <u val="single"/>
      <sz val="7"/>
      <color theme="1"/>
      <name val="Arial"/>
      <family val="2"/>
    </font>
    <font>
      <sz val="8"/>
      <color rgb="FFC00000"/>
      <name val="Arial"/>
      <family val="2"/>
    </font>
    <font>
      <sz val="6"/>
      <color theme="1"/>
      <name val="Arial"/>
      <family val="2"/>
    </font>
    <font>
      <sz val="7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F7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5" borderId="11" xfId="0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61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63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64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0" fillId="5" borderId="16" xfId="0" applyFont="1" applyFill="1" applyBorder="1" applyAlignment="1">
      <alignment/>
    </xf>
    <xf numFmtId="165" fontId="60" fillId="5" borderId="17" xfId="0" applyNumberFormat="1" applyFont="1" applyFill="1" applyBorder="1" applyAlignment="1">
      <alignment/>
    </xf>
    <xf numFmtId="2" fontId="60" fillId="5" borderId="17" xfId="0" applyNumberFormat="1" applyFont="1" applyFill="1" applyBorder="1" applyAlignment="1">
      <alignment/>
    </xf>
    <xf numFmtId="3" fontId="60" fillId="5" borderId="17" xfId="0" applyNumberFormat="1" applyFont="1" applyFill="1" applyBorder="1" applyAlignment="1">
      <alignment/>
    </xf>
    <xf numFmtId="165" fontId="60" fillId="5" borderId="0" xfId="0" applyNumberFormat="1" applyFont="1" applyFill="1" applyBorder="1" applyAlignment="1">
      <alignment/>
    </xf>
    <xf numFmtId="2" fontId="60" fillId="5" borderId="0" xfId="0" applyNumberFormat="1" applyFont="1" applyFill="1" applyBorder="1" applyAlignment="1">
      <alignment/>
    </xf>
    <xf numFmtId="3" fontId="60" fillId="5" borderId="0" xfId="0" applyNumberFormat="1" applyFont="1" applyFill="1" applyBorder="1" applyAlignment="1">
      <alignment/>
    </xf>
    <xf numFmtId="0" fontId="60" fillId="5" borderId="18" xfId="0" applyFont="1" applyFill="1" applyBorder="1" applyAlignment="1">
      <alignment/>
    </xf>
    <xf numFmtId="165" fontId="60" fillId="5" borderId="10" xfId="0" applyNumberFormat="1" applyFont="1" applyFill="1" applyBorder="1" applyAlignment="1">
      <alignment/>
    </xf>
    <xf numFmtId="2" fontId="60" fillId="5" borderId="10" xfId="0" applyNumberFormat="1" applyFont="1" applyFill="1" applyBorder="1" applyAlignment="1">
      <alignment/>
    </xf>
    <xf numFmtId="3" fontId="60" fillId="5" borderId="10" xfId="0" applyNumberFormat="1" applyFont="1" applyFill="1" applyBorder="1" applyAlignment="1">
      <alignment/>
    </xf>
    <xf numFmtId="0" fontId="60" fillId="5" borderId="0" xfId="0" applyFont="1" applyFill="1" applyBorder="1" applyAlignment="1">
      <alignment/>
    </xf>
    <xf numFmtId="0" fontId="60" fillId="5" borderId="19" xfId="0" applyFont="1" applyFill="1" applyBorder="1" applyAlignment="1">
      <alignment/>
    </xf>
    <xf numFmtId="0" fontId="60" fillId="5" borderId="10" xfId="0" applyFont="1" applyFill="1" applyBorder="1" applyAlignment="1">
      <alignment/>
    </xf>
    <xf numFmtId="0" fontId="60" fillId="5" borderId="20" xfId="0" applyFont="1" applyFill="1" applyBorder="1" applyAlignment="1">
      <alignment/>
    </xf>
    <xf numFmtId="3" fontId="60" fillId="5" borderId="19" xfId="0" applyNumberFormat="1" applyFont="1" applyFill="1" applyBorder="1" applyAlignment="1">
      <alignment/>
    </xf>
    <xf numFmtId="3" fontId="60" fillId="5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5" fillId="0" borderId="0" xfId="0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 vertical="top"/>
    </xf>
    <xf numFmtId="0" fontId="66" fillId="0" borderId="0" xfId="0" applyFont="1" applyAlignment="1">
      <alignment/>
    </xf>
    <xf numFmtId="3" fontId="63" fillId="0" borderId="0" xfId="0" applyNumberFormat="1" applyFont="1" applyFill="1" applyAlignment="1">
      <alignment/>
    </xf>
    <xf numFmtId="164" fontId="63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68" fillId="0" borderId="0" xfId="0" applyFont="1" applyAlignment="1">
      <alignment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21" xfId="0" applyFont="1" applyBorder="1" applyAlignment="1">
      <alignment/>
    </xf>
    <xf numFmtId="3" fontId="63" fillId="0" borderId="16" xfId="0" applyNumberFormat="1" applyFont="1" applyBorder="1" applyAlignment="1">
      <alignment/>
    </xf>
    <xf numFmtId="164" fontId="63" fillId="0" borderId="17" xfId="0" applyNumberFormat="1" applyFont="1" applyBorder="1" applyAlignment="1">
      <alignment/>
    </xf>
    <xf numFmtId="0" fontId="63" fillId="0" borderId="22" xfId="0" applyFont="1" applyBorder="1" applyAlignment="1">
      <alignment/>
    </xf>
    <xf numFmtId="3" fontId="63" fillId="0" borderId="18" xfId="0" applyNumberFormat="1" applyFont="1" applyBorder="1" applyAlignment="1">
      <alignment/>
    </xf>
    <xf numFmtId="164" fontId="63" fillId="0" borderId="10" xfId="0" applyNumberFormat="1" applyFont="1" applyBorder="1" applyAlignment="1">
      <alignment/>
    </xf>
    <xf numFmtId="164" fontId="63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164" fontId="63" fillId="0" borderId="0" xfId="0" applyNumberFormat="1" applyFont="1" applyFill="1" applyAlignment="1">
      <alignment/>
    </xf>
    <xf numFmtId="0" fontId="63" fillId="0" borderId="0" xfId="0" applyFont="1" applyFill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167" fontId="6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vertical="top"/>
    </xf>
    <xf numFmtId="2" fontId="65" fillId="0" borderId="0" xfId="0" applyNumberFormat="1" applyFont="1" applyAlignment="1">
      <alignment/>
    </xf>
    <xf numFmtId="0" fontId="63" fillId="0" borderId="0" xfId="0" applyFont="1" applyAlignment="1">
      <alignment horizontal="right" vertical="center"/>
    </xf>
    <xf numFmtId="2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3" fillId="5" borderId="21" xfId="0" applyFont="1" applyFill="1" applyBorder="1" applyAlignment="1">
      <alignment/>
    </xf>
    <xf numFmtId="0" fontId="63" fillId="5" borderId="23" xfId="0" applyFont="1" applyFill="1" applyBorder="1" applyAlignment="1">
      <alignment/>
    </xf>
    <xf numFmtId="0" fontId="63" fillId="5" borderId="22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3" fillId="0" borderId="24" xfId="0" applyFont="1" applyBorder="1" applyAlignment="1">
      <alignment/>
    </xf>
    <xf numFmtId="49" fontId="63" fillId="0" borderId="11" xfId="0" applyNumberFormat="1" applyFont="1" applyBorder="1" applyAlignment="1">
      <alignment/>
    </xf>
    <xf numFmtId="49" fontId="63" fillId="0" borderId="18" xfId="0" applyNumberFormat="1" applyFont="1" applyBorder="1" applyAlignment="1">
      <alignment/>
    </xf>
    <xf numFmtId="0" fontId="63" fillId="5" borderId="10" xfId="0" applyFont="1" applyFill="1" applyBorder="1" applyAlignment="1">
      <alignment/>
    </xf>
    <xf numFmtId="0" fontId="63" fillId="5" borderId="20" xfId="0" applyFont="1" applyFill="1" applyBorder="1" applyAlignment="1">
      <alignment/>
    </xf>
    <xf numFmtId="0" fontId="63" fillId="5" borderId="16" xfId="0" applyFont="1" applyFill="1" applyBorder="1" applyAlignment="1">
      <alignment/>
    </xf>
    <xf numFmtId="0" fontId="63" fillId="5" borderId="17" xfId="0" applyFont="1" applyFill="1" applyBorder="1" applyAlignment="1">
      <alignment/>
    </xf>
    <xf numFmtId="0" fontId="63" fillId="5" borderId="24" xfId="0" applyFont="1" applyFill="1" applyBorder="1" applyAlignment="1">
      <alignment/>
    </xf>
    <xf numFmtId="0" fontId="63" fillId="5" borderId="18" xfId="0" applyFont="1" applyFill="1" applyBorder="1" applyAlignment="1">
      <alignment/>
    </xf>
    <xf numFmtId="0" fontId="63" fillId="0" borderId="15" xfId="0" applyFont="1" applyBorder="1" applyAlignment="1">
      <alignment/>
    </xf>
    <xf numFmtId="49" fontId="63" fillId="5" borderId="21" xfId="0" applyNumberFormat="1" applyFont="1" applyFill="1" applyBorder="1" applyAlignment="1">
      <alignment/>
    </xf>
    <xf numFmtId="49" fontId="63" fillId="5" borderId="22" xfId="0" applyNumberFormat="1" applyFont="1" applyFill="1" applyBorder="1" applyAlignment="1">
      <alignment/>
    </xf>
    <xf numFmtId="164" fontId="65" fillId="0" borderId="0" xfId="0" applyNumberFormat="1" applyFont="1" applyAlignment="1">
      <alignment vertical="center"/>
    </xf>
    <xf numFmtId="164" fontId="65" fillId="0" borderId="24" xfId="0" applyNumberFormat="1" applyFont="1" applyBorder="1" applyAlignment="1">
      <alignment/>
    </xf>
    <xf numFmtId="164" fontId="65" fillId="0" borderId="20" xfId="0" applyNumberFormat="1" applyFont="1" applyBorder="1" applyAlignment="1">
      <alignment/>
    </xf>
    <xf numFmtId="1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67" fillId="0" borderId="0" xfId="0" applyFont="1" applyAlignment="1">
      <alignment horizontal="center" vertical="center"/>
    </xf>
    <xf numFmtId="2" fontId="63" fillId="0" borderId="0" xfId="0" applyNumberFormat="1" applyFont="1" applyFill="1" applyBorder="1" applyAlignment="1">
      <alignment horizontal="right" vertical="center"/>
    </xf>
    <xf numFmtId="0" fontId="69" fillId="0" borderId="0" xfId="0" applyFont="1" applyAlignment="1">
      <alignment/>
    </xf>
    <xf numFmtId="165" fontId="63" fillId="0" borderId="0" xfId="0" applyNumberFormat="1" applyFont="1" applyAlignment="1">
      <alignment/>
    </xf>
    <xf numFmtId="49" fontId="63" fillId="5" borderId="16" xfId="0" applyNumberFormat="1" applyFont="1" applyFill="1" applyBorder="1" applyAlignment="1">
      <alignment/>
    </xf>
    <xf numFmtId="49" fontId="63" fillId="5" borderId="11" xfId="0" applyNumberFormat="1" applyFont="1" applyFill="1" applyBorder="1" applyAlignment="1">
      <alignment/>
    </xf>
    <xf numFmtId="49" fontId="63" fillId="5" borderId="18" xfId="0" applyNumberFormat="1" applyFont="1" applyFill="1" applyBorder="1" applyAlignment="1">
      <alignment/>
    </xf>
    <xf numFmtId="0" fontId="63" fillId="5" borderId="0" xfId="0" applyNumberFormat="1" applyFont="1" applyFill="1" applyBorder="1" applyAlignment="1">
      <alignment/>
    </xf>
    <xf numFmtId="0" fontId="63" fillId="5" borderId="0" xfId="0" applyFont="1" applyFill="1" applyBorder="1" applyAlignment="1">
      <alignment/>
    </xf>
    <xf numFmtId="0" fontId="63" fillId="5" borderId="17" xfId="0" applyNumberFormat="1" applyFont="1" applyFill="1" applyBorder="1" applyAlignment="1">
      <alignment/>
    </xf>
    <xf numFmtId="0" fontId="63" fillId="5" borderId="19" xfId="0" applyFont="1" applyFill="1" applyBorder="1" applyAlignment="1">
      <alignment/>
    </xf>
    <xf numFmtId="0" fontId="63" fillId="5" borderId="10" xfId="0" applyNumberFormat="1" applyFont="1" applyFill="1" applyBorder="1" applyAlignment="1">
      <alignment/>
    </xf>
    <xf numFmtId="0" fontId="62" fillId="5" borderId="17" xfId="0" applyFont="1" applyFill="1" applyBorder="1" applyAlignment="1">
      <alignment/>
    </xf>
    <xf numFmtId="0" fontId="62" fillId="5" borderId="24" xfId="0" applyFont="1" applyFill="1" applyBorder="1" applyAlignment="1">
      <alignment/>
    </xf>
    <xf numFmtId="0" fontId="63" fillId="5" borderId="11" xfId="0" applyFont="1" applyFill="1" applyBorder="1" applyAlignment="1">
      <alignment/>
    </xf>
    <xf numFmtId="0" fontId="62" fillId="5" borderId="0" xfId="0" applyFont="1" applyFill="1" applyBorder="1" applyAlignment="1">
      <alignment/>
    </xf>
    <xf numFmtId="0" fontId="62" fillId="5" borderId="19" xfId="0" applyFont="1" applyFill="1" applyBorder="1" applyAlignment="1">
      <alignment/>
    </xf>
    <xf numFmtId="0" fontId="62" fillId="5" borderId="10" xfId="0" applyFont="1" applyFill="1" applyBorder="1" applyAlignment="1">
      <alignment/>
    </xf>
    <xf numFmtId="0" fontId="62" fillId="5" borderId="20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1" fontId="63" fillId="5" borderId="17" xfId="0" applyNumberFormat="1" applyFont="1" applyFill="1" applyBorder="1" applyAlignment="1">
      <alignment/>
    </xf>
    <xf numFmtId="1" fontId="63" fillId="5" borderId="24" xfId="0" applyNumberFormat="1" applyFont="1" applyFill="1" applyBorder="1" applyAlignment="1">
      <alignment/>
    </xf>
    <xf numFmtId="1" fontId="63" fillId="5" borderId="0" xfId="0" applyNumberFormat="1" applyFont="1" applyFill="1" applyBorder="1" applyAlignment="1">
      <alignment/>
    </xf>
    <xf numFmtId="1" fontId="63" fillId="5" borderId="19" xfId="0" applyNumberFormat="1" applyFont="1" applyFill="1" applyBorder="1" applyAlignment="1">
      <alignment/>
    </xf>
    <xf numFmtId="1" fontId="63" fillId="5" borderId="10" xfId="0" applyNumberFormat="1" applyFont="1" applyFill="1" applyBorder="1" applyAlignment="1">
      <alignment/>
    </xf>
    <xf numFmtId="1" fontId="63" fillId="5" borderId="20" xfId="0" applyNumberFormat="1" applyFont="1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1" fontId="63" fillId="0" borderId="0" xfId="0" applyNumberFormat="1" applyFont="1" applyAlignment="1">
      <alignment/>
    </xf>
    <xf numFmtId="1" fontId="63" fillId="0" borderId="17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5" borderId="12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Alignment="1">
      <alignment horizontal="right" vertical="center"/>
    </xf>
    <xf numFmtId="3" fontId="63" fillId="0" borderId="0" xfId="0" applyNumberFormat="1" applyFont="1" applyAlignment="1">
      <alignment vertical="center"/>
    </xf>
    <xf numFmtId="3" fontId="65" fillId="0" borderId="0" xfId="0" applyNumberFormat="1" applyFont="1" applyAlignment="1">
      <alignment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3" fontId="63" fillId="5" borderId="17" xfId="0" applyNumberFormat="1" applyFont="1" applyFill="1" applyBorder="1" applyAlignment="1">
      <alignment/>
    </xf>
    <xf numFmtId="3" fontId="63" fillId="5" borderId="0" xfId="0" applyNumberFormat="1" applyFont="1" applyFill="1" applyBorder="1" applyAlignment="1">
      <alignment/>
    </xf>
    <xf numFmtId="3" fontId="63" fillId="5" borderId="1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/>
    </xf>
    <xf numFmtId="2" fontId="7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5" fontId="63" fillId="5" borderId="24" xfId="0" applyNumberFormat="1" applyFont="1" applyFill="1" applyBorder="1" applyAlignment="1">
      <alignment/>
    </xf>
    <xf numFmtId="165" fontId="63" fillId="5" borderId="19" xfId="0" applyNumberFormat="1" applyFont="1" applyFill="1" applyBorder="1" applyAlignment="1">
      <alignment/>
    </xf>
    <xf numFmtId="165" fontId="63" fillId="5" borderId="20" xfId="0" applyNumberFormat="1" applyFont="1" applyFill="1" applyBorder="1" applyAlignment="1">
      <alignment/>
    </xf>
    <xf numFmtId="0" fontId="61" fillId="0" borderId="0" xfId="0" applyFont="1" applyAlignment="1">
      <alignment vertical="center"/>
    </xf>
    <xf numFmtId="2" fontId="63" fillId="5" borderId="24" xfId="0" applyNumberFormat="1" applyFont="1" applyFill="1" applyBorder="1" applyAlignment="1">
      <alignment/>
    </xf>
    <xf numFmtId="2" fontId="63" fillId="5" borderId="19" xfId="0" applyNumberFormat="1" applyFont="1" applyFill="1" applyBorder="1" applyAlignment="1">
      <alignment/>
    </xf>
    <xf numFmtId="4" fontId="63" fillId="5" borderId="19" xfId="0" applyNumberFormat="1" applyFont="1" applyFill="1" applyBorder="1" applyAlignment="1">
      <alignment/>
    </xf>
    <xf numFmtId="4" fontId="63" fillId="5" borderId="20" xfId="0" applyNumberFormat="1" applyFont="1" applyFill="1" applyBorder="1" applyAlignment="1">
      <alignment/>
    </xf>
    <xf numFmtId="164" fontId="63" fillId="5" borderId="22" xfId="0" applyNumberFormat="1" applyFont="1" applyFill="1" applyBorder="1" applyAlignment="1">
      <alignment/>
    </xf>
    <xf numFmtId="0" fontId="63" fillId="0" borderId="24" xfId="0" applyFont="1" applyFill="1" applyBorder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horizontal="center" vertical="center"/>
      <protection locked="0"/>
    </xf>
    <xf numFmtId="164" fontId="63" fillId="33" borderId="0" xfId="0" applyNumberFormat="1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horizontal="right" vertical="center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vertical="center"/>
      <protection locked="0"/>
    </xf>
    <xf numFmtId="165" fontId="4" fillId="33" borderId="0" xfId="0" applyNumberFormat="1" applyFont="1" applyFill="1" applyAlignment="1" applyProtection="1">
      <alignment vertical="center"/>
      <protection locked="0"/>
    </xf>
    <xf numFmtId="164" fontId="4" fillId="33" borderId="0" xfId="0" applyNumberFormat="1" applyFont="1" applyFill="1" applyAlignment="1" applyProtection="1">
      <alignment vertical="center"/>
      <protection locked="0"/>
    </xf>
    <xf numFmtId="166" fontId="4" fillId="33" borderId="0" xfId="0" applyNumberFormat="1" applyFont="1" applyFill="1" applyAlignment="1" applyProtection="1">
      <alignment vertical="center"/>
      <protection locked="0"/>
    </xf>
    <xf numFmtId="3" fontId="63" fillId="33" borderId="0" xfId="0" applyNumberFormat="1" applyFont="1" applyFill="1" applyAlignment="1" applyProtection="1">
      <alignment/>
      <protection locked="0"/>
    </xf>
    <xf numFmtId="0" fontId="63" fillId="33" borderId="10" xfId="0" applyFont="1" applyFill="1" applyBorder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2" fontId="4" fillId="33" borderId="0" xfId="0" applyNumberFormat="1" applyFont="1" applyFill="1" applyAlignment="1" applyProtection="1">
      <alignment horizontal="right" vertical="center"/>
      <protection locked="0"/>
    </xf>
    <xf numFmtId="2" fontId="4" fillId="33" borderId="0" xfId="0" applyNumberFormat="1" applyFont="1" applyFill="1" applyBorder="1" applyAlignment="1" applyProtection="1">
      <alignment horizontal="right" vertical="center"/>
      <protection locked="0"/>
    </xf>
    <xf numFmtId="3" fontId="63" fillId="33" borderId="0" xfId="0" applyNumberFormat="1" applyFont="1" applyFill="1" applyAlignment="1" applyProtection="1">
      <alignment horizontal="center" vertical="center"/>
      <protection locked="0"/>
    </xf>
    <xf numFmtId="2" fontId="63" fillId="33" borderId="0" xfId="0" applyNumberFormat="1" applyFont="1" applyFill="1" applyAlignment="1" applyProtection="1">
      <alignment/>
      <protection locked="0"/>
    </xf>
    <xf numFmtId="0" fontId="63" fillId="0" borderId="16" xfId="0" applyFont="1" applyFill="1" applyBorder="1" applyAlignment="1">
      <alignment horizontal="center"/>
    </xf>
    <xf numFmtId="0" fontId="63" fillId="0" borderId="11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1" fillId="0" borderId="16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24" xfId="0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167" fontId="65" fillId="0" borderId="0" xfId="0" applyNumberFormat="1" applyFont="1" applyAlignment="1">
      <alignment/>
    </xf>
    <xf numFmtId="0" fontId="63" fillId="0" borderId="0" xfId="0" applyFont="1" applyFill="1" applyAlignment="1" applyProtection="1">
      <alignment horizontal="right"/>
      <protection/>
    </xf>
    <xf numFmtId="0" fontId="71" fillId="0" borderId="0" xfId="0" applyFont="1" applyAlignment="1">
      <alignment/>
    </xf>
    <xf numFmtId="0" fontId="63" fillId="5" borderId="16" xfId="0" applyFont="1" applyFill="1" applyBorder="1" applyAlignment="1">
      <alignment horizontal="right"/>
    </xf>
    <xf numFmtId="0" fontId="63" fillId="5" borderId="17" xfId="0" applyFont="1" applyFill="1" applyBorder="1" applyAlignment="1">
      <alignment horizontal="right"/>
    </xf>
    <xf numFmtId="0" fontId="63" fillId="5" borderId="24" xfId="0" applyFont="1" applyFill="1" applyBorder="1" applyAlignment="1">
      <alignment horizontal="right"/>
    </xf>
    <xf numFmtId="0" fontId="63" fillId="5" borderId="11" xfId="0" applyFont="1" applyFill="1" applyBorder="1" applyAlignment="1">
      <alignment horizontal="right"/>
    </xf>
    <xf numFmtId="165" fontId="63" fillId="5" borderId="0" xfId="0" applyNumberFormat="1" applyFont="1" applyFill="1" applyBorder="1" applyAlignment="1">
      <alignment horizontal="right"/>
    </xf>
    <xf numFmtId="0" fontId="63" fillId="5" borderId="0" xfId="0" applyFont="1" applyFill="1" applyBorder="1" applyAlignment="1">
      <alignment horizontal="right"/>
    </xf>
    <xf numFmtId="165" fontId="63" fillId="5" borderId="19" xfId="0" applyNumberFormat="1" applyFont="1" applyFill="1" applyBorder="1" applyAlignment="1">
      <alignment horizontal="right"/>
    </xf>
    <xf numFmtId="0" fontId="63" fillId="5" borderId="19" xfId="0" applyFont="1" applyFill="1" applyBorder="1" applyAlignment="1">
      <alignment horizontal="right"/>
    </xf>
    <xf numFmtId="0" fontId="63" fillId="5" borderId="18" xfId="0" applyFont="1" applyFill="1" applyBorder="1" applyAlignment="1">
      <alignment horizontal="right"/>
    </xf>
    <xf numFmtId="0" fontId="63" fillId="5" borderId="10" xfId="0" applyFont="1" applyFill="1" applyBorder="1" applyAlignment="1">
      <alignment horizontal="right"/>
    </xf>
    <xf numFmtId="0" fontId="63" fillId="5" borderId="20" xfId="0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63" fillId="0" borderId="0" xfId="0" applyFont="1" applyFill="1" applyAlignment="1" applyProtection="1">
      <alignment horizontal="center" vertical="center"/>
      <protection locked="0"/>
    </xf>
    <xf numFmtId="3" fontId="63" fillId="0" borderId="0" xfId="0" applyNumberFormat="1" applyFont="1" applyAlignment="1">
      <alignment horizontal="center"/>
    </xf>
    <xf numFmtId="2" fontId="63" fillId="0" borderId="0" xfId="0" applyNumberFormat="1" applyFont="1" applyAlignment="1">
      <alignment horizontal="center"/>
    </xf>
    <xf numFmtId="0" fontId="63" fillId="0" borderId="0" xfId="0" applyFont="1" applyAlignment="1">
      <alignment horizontal="left"/>
    </xf>
    <xf numFmtId="3" fontId="4" fillId="0" borderId="0" xfId="0" applyNumberFormat="1" applyFont="1" applyFill="1" applyAlignment="1" applyProtection="1">
      <alignment vertical="center"/>
      <protection/>
    </xf>
    <xf numFmtId="49" fontId="63" fillId="5" borderId="12" xfId="0" applyNumberFormat="1" applyFont="1" applyFill="1" applyBorder="1" applyAlignment="1">
      <alignment/>
    </xf>
    <xf numFmtId="0" fontId="63" fillId="5" borderId="13" xfId="0" applyNumberFormat="1" applyFont="1" applyFill="1" applyBorder="1" applyAlignment="1">
      <alignment/>
    </xf>
    <xf numFmtId="0" fontId="63" fillId="5" borderId="14" xfId="0" applyFont="1" applyFill="1" applyBorder="1" applyAlignment="1">
      <alignment/>
    </xf>
    <xf numFmtId="0" fontId="63" fillId="5" borderId="12" xfId="0" applyFont="1" applyFill="1" applyBorder="1" applyAlignment="1">
      <alignment/>
    </xf>
    <xf numFmtId="0" fontId="62" fillId="5" borderId="13" xfId="0" applyFont="1" applyFill="1" applyBorder="1" applyAlignment="1">
      <alignment/>
    </xf>
    <xf numFmtId="0" fontId="63" fillId="5" borderId="13" xfId="0" applyFont="1" applyFill="1" applyBorder="1" applyAlignment="1">
      <alignment/>
    </xf>
    <xf numFmtId="0" fontId="62" fillId="5" borderId="14" xfId="0" applyFont="1" applyFill="1" applyBorder="1" applyAlignment="1">
      <alignment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4" fillId="34" borderId="16" xfId="0" applyFont="1" applyFill="1" applyBorder="1" applyAlignment="1" applyProtection="1">
      <alignment horizontal="left" vertical="top" wrapText="1"/>
      <protection locked="0"/>
    </xf>
    <xf numFmtId="0" fontId="4" fillId="34" borderId="17" xfId="0" applyFont="1" applyFill="1" applyBorder="1" applyAlignment="1" applyProtection="1">
      <alignment horizontal="left" vertical="top" wrapText="1"/>
      <protection locked="0"/>
    </xf>
    <xf numFmtId="0" fontId="4" fillId="34" borderId="24" xfId="0" applyFont="1" applyFill="1" applyBorder="1" applyAlignment="1" applyProtection="1">
      <alignment horizontal="left" vertical="top" wrapText="1"/>
      <protection locked="0"/>
    </xf>
    <xf numFmtId="0" fontId="4" fillId="34" borderId="18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2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ill>
        <patternFill>
          <bgColor theme="2"/>
        </patternFill>
      </fill>
    </dxf>
    <dxf>
      <font>
        <color theme="0"/>
      </font>
    </dxf>
    <dxf>
      <fill>
        <patternFill>
          <bgColor theme="2"/>
        </patternFill>
      </fill>
    </dxf>
    <dxf>
      <font>
        <color theme="0"/>
      </font>
    </dxf>
    <dxf>
      <font>
        <b/>
        <i val="0"/>
        <color rgb="FFC00000"/>
      </font>
    </dxf>
    <dxf>
      <font>
        <color rgb="FF00602B"/>
      </font>
    </dxf>
    <dxf>
      <font>
        <color rgb="FF820000"/>
      </font>
    </dxf>
    <dxf>
      <font>
        <color rgb="FF00602B"/>
      </font>
    </dxf>
    <dxf>
      <font>
        <color rgb="FF820000"/>
      </font>
    </dxf>
    <dxf>
      <font>
        <color rgb="FF00602B"/>
      </font>
    </dxf>
    <dxf>
      <font>
        <color rgb="FF82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  <dxf>
      <font>
        <color rgb="FF820000"/>
      </font>
      <border/>
    </dxf>
    <dxf>
      <font>
        <color rgb="FF00602B"/>
      </font>
      <border/>
    </dxf>
    <dxf>
      <font>
        <b/>
        <i val="0"/>
        <color rgb="FFC0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76200</xdr:rowOff>
    </xdr:from>
    <xdr:to>
      <xdr:col>7</xdr:col>
      <xdr:colOff>590550</xdr:colOff>
      <xdr:row>8</xdr:row>
      <xdr:rowOff>76200</xdr:rowOff>
    </xdr:to>
    <xdr:sp>
      <xdr:nvSpPr>
        <xdr:cNvPr id="1" name="Straight Arrow Connector 1"/>
        <xdr:cNvSpPr>
          <a:spLocks/>
        </xdr:cNvSpPr>
      </xdr:nvSpPr>
      <xdr:spPr>
        <a:xfrm>
          <a:off x="4467225" y="123825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7</xdr:row>
      <xdr:rowOff>76200</xdr:rowOff>
    </xdr:from>
    <xdr:to>
      <xdr:col>7</xdr:col>
      <xdr:colOff>590550</xdr:colOff>
      <xdr:row>7</xdr:row>
      <xdr:rowOff>76200</xdr:rowOff>
    </xdr:to>
    <xdr:sp>
      <xdr:nvSpPr>
        <xdr:cNvPr id="2" name="Straight Arrow Connector 3"/>
        <xdr:cNvSpPr>
          <a:spLocks/>
        </xdr:cNvSpPr>
      </xdr:nvSpPr>
      <xdr:spPr>
        <a:xfrm>
          <a:off x="4467225" y="1095375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238125</xdr:colOff>
      <xdr:row>41</xdr:row>
      <xdr:rowOff>85725</xdr:rowOff>
    </xdr:from>
    <xdr:to>
      <xdr:col>12</xdr:col>
      <xdr:colOff>457200</xdr:colOff>
      <xdr:row>41</xdr:row>
      <xdr:rowOff>85725</xdr:rowOff>
    </xdr:to>
    <xdr:sp>
      <xdr:nvSpPr>
        <xdr:cNvPr id="3" name="Straight Arrow Connector 6"/>
        <xdr:cNvSpPr>
          <a:spLocks/>
        </xdr:cNvSpPr>
      </xdr:nvSpPr>
      <xdr:spPr>
        <a:xfrm>
          <a:off x="7667625" y="59721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76200</xdr:rowOff>
    </xdr:from>
    <xdr:to>
      <xdr:col>13</xdr:col>
      <xdr:colOff>190500</xdr:colOff>
      <xdr:row>12</xdr:row>
      <xdr:rowOff>76200</xdr:rowOff>
    </xdr:to>
    <xdr:sp>
      <xdr:nvSpPr>
        <xdr:cNvPr id="4" name="Straight Arrow Connector 20"/>
        <xdr:cNvSpPr>
          <a:spLocks/>
        </xdr:cNvSpPr>
      </xdr:nvSpPr>
      <xdr:spPr>
        <a:xfrm>
          <a:off x="7943850" y="1809750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59</xdr:row>
      <xdr:rowOff>76200</xdr:rowOff>
    </xdr:from>
    <xdr:to>
      <xdr:col>4</xdr:col>
      <xdr:colOff>200025</xdr:colOff>
      <xdr:row>59</xdr:row>
      <xdr:rowOff>76200</xdr:rowOff>
    </xdr:to>
    <xdr:sp>
      <xdr:nvSpPr>
        <xdr:cNvPr id="5" name="Straight Arrow Connector 7"/>
        <xdr:cNvSpPr>
          <a:spLocks/>
        </xdr:cNvSpPr>
      </xdr:nvSpPr>
      <xdr:spPr>
        <a:xfrm>
          <a:off x="2209800" y="8782050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71</xdr:row>
      <xdr:rowOff>85725</xdr:rowOff>
    </xdr:from>
    <xdr:to>
      <xdr:col>4</xdr:col>
      <xdr:colOff>190500</xdr:colOff>
      <xdr:row>71</xdr:row>
      <xdr:rowOff>85725</xdr:rowOff>
    </xdr:to>
    <xdr:sp>
      <xdr:nvSpPr>
        <xdr:cNvPr id="6" name="Straight Arrow Connector 8"/>
        <xdr:cNvSpPr>
          <a:spLocks/>
        </xdr:cNvSpPr>
      </xdr:nvSpPr>
      <xdr:spPr>
        <a:xfrm>
          <a:off x="2200275" y="10734675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90</xdr:row>
      <xdr:rowOff>76200</xdr:rowOff>
    </xdr:from>
    <xdr:to>
      <xdr:col>4</xdr:col>
      <xdr:colOff>200025</xdr:colOff>
      <xdr:row>90</xdr:row>
      <xdr:rowOff>76200</xdr:rowOff>
    </xdr:to>
    <xdr:sp>
      <xdr:nvSpPr>
        <xdr:cNvPr id="7" name="Straight Arrow Connector 9"/>
        <xdr:cNvSpPr>
          <a:spLocks/>
        </xdr:cNvSpPr>
      </xdr:nvSpPr>
      <xdr:spPr>
        <a:xfrm>
          <a:off x="2209800" y="13801725"/>
          <a:ext cx="161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01"/>
  <sheetViews>
    <sheetView tabSelected="1" zoomScale="125" zoomScaleNormal="125" zoomScalePageLayoutView="0" workbookViewId="0" topLeftCell="A1">
      <selection activeCell="O9" sqref="O9"/>
    </sheetView>
  </sheetViews>
  <sheetFormatPr defaultColWidth="9.140625" defaultRowHeight="15"/>
  <cols>
    <col min="1" max="1" width="2.57421875" style="9" customWidth="1"/>
    <col min="2" max="11" width="10.00390625" style="9" customWidth="1"/>
    <col min="12" max="12" width="8.8515625" style="9" customWidth="1"/>
    <col min="13" max="13" width="7.28125" style="9" customWidth="1"/>
    <col min="14" max="14" width="8.7109375" style="9" customWidth="1"/>
    <col min="15" max="15" width="14.57421875" style="9" customWidth="1"/>
    <col min="16" max="18" width="9.140625" style="9" customWidth="1"/>
    <col min="19" max="19" width="11.140625" style="9" customWidth="1"/>
    <col min="20" max="20" width="10.7109375" style="9" customWidth="1"/>
    <col min="21" max="16384" width="9.140625" style="9" customWidth="1"/>
  </cols>
  <sheetData>
    <row r="1" ht="12.75"/>
    <row r="2" spans="2:14" ht="11.25" customHeight="1">
      <c r="B2" s="40" t="s">
        <v>2</v>
      </c>
      <c r="E2" s="41" t="str">
        <f>B5</f>
        <v>SWLA</v>
      </c>
      <c r="F2" s="10" t="s">
        <v>84</v>
      </c>
      <c r="G2" s="177">
        <v>905</v>
      </c>
      <c r="H2" s="10" t="s">
        <v>24</v>
      </c>
      <c r="I2" s="10" t="s">
        <v>85</v>
      </c>
      <c r="J2" s="177">
        <v>1709</v>
      </c>
      <c r="K2" s="10" t="s">
        <v>24</v>
      </c>
      <c r="L2" s="10"/>
      <c r="M2" s="42" t="s">
        <v>0</v>
      </c>
      <c r="N2" s="176" t="s">
        <v>337</v>
      </c>
    </row>
    <row r="3" spans="6:41" ht="11.25" customHeight="1">
      <c r="F3" s="43" t="s">
        <v>87</v>
      </c>
      <c r="G3" s="44" t="s">
        <v>348</v>
      </c>
      <c r="H3" s="44"/>
      <c r="I3" s="43" t="s">
        <v>86</v>
      </c>
      <c r="J3" s="205">
        <f>IF($H$37="NS","Studs do not meet min. wood member thickness for selected holdown","")</f>
      </c>
      <c r="P3" s="21" t="s">
        <v>45</v>
      </c>
      <c r="W3" s="21" t="s">
        <v>141</v>
      </c>
      <c r="X3" s="10" t="s">
        <v>157</v>
      </c>
      <c r="Y3" s="10"/>
      <c r="Z3" s="10"/>
      <c r="AA3" s="10"/>
      <c r="AB3" s="21" t="s">
        <v>158</v>
      </c>
      <c r="AE3" s="21" t="s">
        <v>200</v>
      </c>
      <c r="AF3" s="10" t="s">
        <v>297</v>
      </c>
      <c r="AG3" s="10" t="s">
        <v>298</v>
      </c>
      <c r="AH3" s="10" t="s">
        <v>299</v>
      </c>
      <c r="AI3" s="10" t="s">
        <v>300</v>
      </c>
      <c r="AK3" s="21" t="s">
        <v>200</v>
      </c>
      <c r="AL3" s="10" t="s">
        <v>297</v>
      </c>
      <c r="AM3" s="10" t="s">
        <v>298</v>
      </c>
      <c r="AN3" s="10" t="s">
        <v>299</v>
      </c>
      <c r="AO3" s="10" t="s">
        <v>300</v>
      </c>
    </row>
    <row r="4" spans="2:41" ht="11.25" customHeight="1">
      <c r="B4" s="2" t="s">
        <v>1</v>
      </c>
      <c r="C4" s="3" t="s">
        <v>11</v>
      </c>
      <c r="D4" s="2" t="s">
        <v>14</v>
      </c>
      <c r="E4" s="2" t="s">
        <v>3</v>
      </c>
      <c r="F4" s="2" t="s">
        <v>13</v>
      </c>
      <c r="G4" s="2" t="s">
        <v>12</v>
      </c>
      <c r="H4" s="2" t="str">
        <f>IF(F5*G5=M57,"Uplift (lbs)","Uplift (lbs)*")</f>
        <v>Uplift (lbs)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P4" s="199" t="s">
        <v>47</v>
      </c>
      <c r="Q4" s="200" t="s">
        <v>48</v>
      </c>
      <c r="R4" s="200" t="s">
        <v>49</v>
      </c>
      <c r="S4" s="200" t="s">
        <v>50</v>
      </c>
      <c r="T4" s="200" t="s">
        <v>312</v>
      </c>
      <c r="U4" s="201" t="s">
        <v>313</v>
      </c>
      <c r="W4" s="97" t="s">
        <v>142</v>
      </c>
      <c r="X4" s="87">
        <v>6</v>
      </c>
      <c r="Y4" s="87">
        <v>4</v>
      </c>
      <c r="Z4" s="88">
        <v>3</v>
      </c>
      <c r="AA4" s="10"/>
      <c r="AB4" s="10" t="str">
        <f>IF(M10="7/16","(APA Grade 24/16)","(APA Grade 32/16)")</f>
        <v>(APA Grade 24/16)</v>
      </c>
      <c r="AE4" s="125" t="s">
        <v>48</v>
      </c>
      <c r="AF4" s="126" t="s">
        <v>198</v>
      </c>
      <c r="AG4" s="126" t="s">
        <v>198</v>
      </c>
      <c r="AH4" s="126" t="s">
        <v>198</v>
      </c>
      <c r="AI4" s="175" t="s">
        <v>198</v>
      </c>
      <c r="AK4" s="125" t="s">
        <v>48</v>
      </c>
      <c r="AL4" s="88" t="s">
        <v>199</v>
      </c>
      <c r="AM4" s="88" t="s">
        <v>199</v>
      </c>
      <c r="AN4" s="88" t="s">
        <v>199</v>
      </c>
      <c r="AO4" s="88" t="s">
        <v>199</v>
      </c>
    </row>
    <row r="5" spans="2:41" ht="11.25" customHeight="1">
      <c r="B5" s="177" t="s">
        <v>349</v>
      </c>
      <c r="C5" s="45">
        <f>MAX(G2,J2)</f>
        <v>1709</v>
      </c>
      <c r="D5" s="179">
        <v>28</v>
      </c>
      <c r="E5" s="179">
        <v>6</v>
      </c>
      <c r="F5" s="46">
        <f>IF(B6="PERF",C5/(H6*F6),C5/E5)</f>
        <v>284.8333333333333</v>
      </c>
      <c r="G5" s="179">
        <v>9.25</v>
      </c>
      <c r="H5" s="219">
        <f>IF(F5*G5=M57,F5*G5,M57)</f>
        <v>2634.708333333333</v>
      </c>
      <c r="I5" s="178" t="s">
        <v>15</v>
      </c>
      <c r="J5" s="178" t="s">
        <v>16</v>
      </c>
      <c r="K5" s="178">
        <v>18</v>
      </c>
      <c r="L5" s="178" t="s">
        <v>17</v>
      </c>
      <c r="M5" s="218">
        <f>IF(B6="SEGMENT",Z38,1)</f>
        <v>2</v>
      </c>
      <c r="P5" s="23" t="s">
        <v>46</v>
      </c>
      <c r="Q5" s="24">
        <v>0.5</v>
      </c>
      <c r="R5" s="25">
        <v>3</v>
      </c>
      <c r="S5" s="26">
        <v>1835</v>
      </c>
      <c r="T5" s="26">
        <v>2145</v>
      </c>
      <c r="U5" s="95">
        <v>3</v>
      </c>
      <c r="W5" s="89" t="s">
        <v>145</v>
      </c>
      <c r="X5" s="93">
        <v>480</v>
      </c>
      <c r="Y5" s="94">
        <v>700</v>
      </c>
      <c r="Z5" s="95">
        <v>900</v>
      </c>
      <c r="AA5" s="10"/>
      <c r="AE5" s="84">
        <v>0.5</v>
      </c>
      <c r="AF5" s="127">
        <v>530</v>
      </c>
      <c r="AG5" s="127">
        <v>680</v>
      </c>
      <c r="AH5" s="127">
        <v>680</v>
      </c>
      <c r="AI5" s="128">
        <v>690</v>
      </c>
      <c r="AK5" s="84">
        <v>0.5</v>
      </c>
      <c r="AL5" s="128">
        <v>290</v>
      </c>
      <c r="AM5" s="128">
        <v>340</v>
      </c>
      <c r="AN5" s="128">
        <v>340</v>
      </c>
      <c r="AO5" s="128">
        <v>400</v>
      </c>
    </row>
    <row r="6" spans="2:41" ht="11.25" customHeight="1">
      <c r="B6" s="217" t="s">
        <v>323</v>
      </c>
      <c r="C6" s="6" t="str">
        <f>IF(J2&gt;G2,"Wind Load Governs","Seismic Load Governs")</f>
        <v>Wind Load Governs</v>
      </c>
      <c r="D6" s="10"/>
      <c r="E6" s="83">
        <f>IF($B$6="PERF","Co = ","")</f>
      </c>
      <c r="F6" s="220">
        <v>0.97</v>
      </c>
      <c r="G6" s="83">
        <f>IF($B$6="PERF","ΣLi (ft) = ","")</f>
      </c>
      <c r="H6" s="220">
        <v>19</v>
      </c>
      <c r="I6" s="83">
        <f>IF($B$6="PERF","bs = ","")</f>
      </c>
      <c r="J6" s="220">
        <v>9.75</v>
      </c>
      <c r="K6" s="221">
        <f>IF($B$6="PERF","ft ","")</f>
      </c>
      <c r="L6" s="11" t="s">
        <v>100</v>
      </c>
      <c r="M6" s="10"/>
      <c r="P6" s="4" t="s">
        <v>52</v>
      </c>
      <c r="Q6" s="27">
        <v>0.625</v>
      </c>
      <c r="R6" s="28">
        <v>3</v>
      </c>
      <c r="S6" s="29">
        <v>2215</v>
      </c>
      <c r="T6" s="29">
        <v>3075</v>
      </c>
      <c r="U6" s="116">
        <v>3</v>
      </c>
      <c r="W6" s="90" t="s">
        <v>146</v>
      </c>
      <c r="X6" s="96">
        <v>520</v>
      </c>
      <c r="Y6" s="91">
        <v>760</v>
      </c>
      <c r="Z6" s="92">
        <v>980</v>
      </c>
      <c r="AA6" s="10"/>
      <c r="AB6" s="21" t="s">
        <v>296</v>
      </c>
      <c r="AE6" s="85">
        <v>0.625</v>
      </c>
      <c r="AF6" s="129">
        <v>780</v>
      </c>
      <c r="AG6" s="129">
        <v>940</v>
      </c>
      <c r="AH6" s="129">
        <v>940</v>
      </c>
      <c r="AI6" s="130">
        <v>1070</v>
      </c>
      <c r="AK6" s="85">
        <v>0.625</v>
      </c>
      <c r="AL6" s="130">
        <v>320</v>
      </c>
      <c r="AM6" s="130">
        <v>460</v>
      </c>
      <c r="AN6" s="130">
        <v>460</v>
      </c>
      <c r="AO6" s="130">
        <v>520</v>
      </c>
    </row>
    <row r="7" spans="2:41" ht="11.25" customHeight="1">
      <c r="B7" s="21" t="s">
        <v>18</v>
      </c>
      <c r="C7" s="10"/>
      <c r="D7" s="10"/>
      <c r="E7" s="10"/>
      <c r="F7" s="1" t="s">
        <v>19</v>
      </c>
      <c r="G7" s="10"/>
      <c r="H7" s="10"/>
      <c r="I7" s="10"/>
      <c r="J7" s="10"/>
      <c r="K7" s="10"/>
      <c r="P7" s="4" t="s">
        <v>15</v>
      </c>
      <c r="Q7" s="27">
        <v>0.625</v>
      </c>
      <c r="R7" s="28">
        <v>3</v>
      </c>
      <c r="S7" s="29">
        <v>3285</v>
      </c>
      <c r="T7" s="29">
        <v>4565</v>
      </c>
      <c r="U7" s="116">
        <v>3</v>
      </c>
      <c r="W7" s="10"/>
      <c r="X7" s="10"/>
      <c r="Y7" s="10"/>
      <c r="Z7" s="10"/>
      <c r="AA7" s="10"/>
      <c r="AB7" s="93" t="s">
        <v>297</v>
      </c>
      <c r="AC7" s="95" t="s">
        <v>304</v>
      </c>
      <c r="AE7" s="85">
        <v>0.75</v>
      </c>
      <c r="AF7" s="129">
        <v>1100</v>
      </c>
      <c r="AG7" s="129">
        <v>1240</v>
      </c>
      <c r="AH7" s="129">
        <v>1240</v>
      </c>
      <c r="AI7" s="130">
        <v>1470</v>
      </c>
      <c r="AK7" s="85">
        <v>0.75</v>
      </c>
      <c r="AL7" s="130">
        <v>350</v>
      </c>
      <c r="AM7" s="130">
        <v>580</v>
      </c>
      <c r="AN7" s="130">
        <v>580</v>
      </c>
      <c r="AO7" s="130">
        <v>660</v>
      </c>
    </row>
    <row r="8" spans="2:41" ht="11.25" customHeight="1">
      <c r="B8" s="48" t="s">
        <v>134</v>
      </c>
      <c r="C8" s="103">
        <f>IF(B6="PERF",G2/(F6*H6),G2/E5)</f>
        <v>150.83333333333334</v>
      </c>
      <c r="D8" s="17" t="s">
        <v>20</v>
      </c>
      <c r="E8" s="48" t="s">
        <v>21</v>
      </c>
      <c r="F8" s="48" t="s">
        <v>135</v>
      </c>
      <c r="G8" s="222">
        <f>IF(M9="YES",Y39,0.5*Y39)</f>
        <v>155.67567567567568</v>
      </c>
      <c r="H8" s="17" t="s">
        <v>20</v>
      </c>
      <c r="I8" s="49" t="str">
        <f>IF(G8&gt;C8,"OK","NG")</f>
        <v>OK</v>
      </c>
      <c r="J8" s="50" t="s">
        <v>87</v>
      </c>
      <c r="K8" s="10"/>
      <c r="L8" s="80" t="s">
        <v>143</v>
      </c>
      <c r="M8" s="177">
        <v>6</v>
      </c>
      <c r="N8" s="10" t="s">
        <v>82</v>
      </c>
      <c r="P8" s="4" t="s">
        <v>53</v>
      </c>
      <c r="Q8" s="27">
        <v>0.625</v>
      </c>
      <c r="R8" s="28">
        <v>3</v>
      </c>
      <c r="S8" s="29">
        <v>4065</v>
      </c>
      <c r="T8" s="29">
        <v>5645</v>
      </c>
      <c r="U8" s="116">
        <v>3</v>
      </c>
      <c r="W8" s="21" t="s">
        <v>141</v>
      </c>
      <c r="X8" s="10" t="s">
        <v>149</v>
      </c>
      <c r="Y8" s="10"/>
      <c r="Z8" s="10"/>
      <c r="AA8" s="10"/>
      <c r="AB8" s="120" t="s">
        <v>298</v>
      </c>
      <c r="AC8" s="116" t="s">
        <v>304</v>
      </c>
      <c r="AE8" s="85">
        <v>0.875</v>
      </c>
      <c r="AF8" s="129">
        <v>1280</v>
      </c>
      <c r="AG8" s="129">
        <v>1600</v>
      </c>
      <c r="AH8" s="129">
        <v>1600</v>
      </c>
      <c r="AI8" s="130">
        <v>1840</v>
      </c>
      <c r="AK8" s="85">
        <v>0.875</v>
      </c>
      <c r="AL8" s="130">
        <v>370</v>
      </c>
      <c r="AM8" s="130">
        <v>610</v>
      </c>
      <c r="AN8" s="130">
        <v>610</v>
      </c>
      <c r="AO8" s="130">
        <v>820</v>
      </c>
    </row>
    <row r="9" spans="2:41" ht="11.25" customHeight="1">
      <c r="B9" s="48" t="s">
        <v>133</v>
      </c>
      <c r="C9" s="103">
        <f>IF(B6="PERF",J2/(F6*H6),J2/E5)</f>
        <v>284.8333333333333</v>
      </c>
      <c r="D9" s="17" t="s">
        <v>20</v>
      </c>
      <c r="E9" s="48" t="s">
        <v>21</v>
      </c>
      <c r="F9" s="48" t="s">
        <v>135</v>
      </c>
      <c r="G9" s="222">
        <f>IF(M9="YES",W17,0.5*W17)</f>
        <v>335</v>
      </c>
      <c r="H9" s="17" t="s">
        <v>20</v>
      </c>
      <c r="I9" s="49" t="str">
        <f>IF(G9&gt;C9,"OK","NG")</f>
        <v>OK</v>
      </c>
      <c r="J9" s="50" t="s">
        <v>86</v>
      </c>
      <c r="K9" s="10"/>
      <c r="L9" s="80" t="s">
        <v>137</v>
      </c>
      <c r="M9" s="180" t="s">
        <v>140</v>
      </c>
      <c r="N9" s="10"/>
      <c r="P9" s="4" t="s">
        <v>54</v>
      </c>
      <c r="Q9" s="27">
        <v>0.875</v>
      </c>
      <c r="R9" s="28">
        <v>4.5</v>
      </c>
      <c r="S9" s="29">
        <v>5665</v>
      </c>
      <c r="T9" s="29">
        <v>7870</v>
      </c>
      <c r="U9" s="116">
        <v>4.5</v>
      </c>
      <c r="W9" s="97" t="s">
        <v>150</v>
      </c>
      <c r="X9" s="87">
        <v>6</v>
      </c>
      <c r="Y9" s="87">
        <v>4</v>
      </c>
      <c r="Z9" s="88">
        <v>3</v>
      </c>
      <c r="AA9" s="10"/>
      <c r="AB9" s="120" t="s">
        <v>299</v>
      </c>
      <c r="AC9" s="116" t="s">
        <v>305</v>
      </c>
      <c r="AE9" s="174">
        <v>1</v>
      </c>
      <c r="AF9" s="131">
        <v>1460</v>
      </c>
      <c r="AG9" s="131">
        <v>2030</v>
      </c>
      <c r="AH9" s="131">
        <v>2030</v>
      </c>
      <c r="AI9" s="132">
        <v>2260</v>
      </c>
      <c r="AK9" s="174">
        <v>1</v>
      </c>
      <c r="AL9" s="132">
        <v>410</v>
      </c>
      <c r="AM9" s="132">
        <v>680</v>
      </c>
      <c r="AN9" s="132">
        <v>680</v>
      </c>
      <c r="AO9" s="132">
        <v>950</v>
      </c>
    </row>
    <row r="10" spans="2:29" ht="11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83" t="s">
        <v>294</v>
      </c>
      <c r="M10" s="180" t="s">
        <v>145</v>
      </c>
      <c r="N10" s="10" t="s">
        <v>82</v>
      </c>
      <c r="P10" s="4" t="s">
        <v>55</v>
      </c>
      <c r="Q10" s="27">
        <v>1</v>
      </c>
      <c r="R10" s="28">
        <v>5.5</v>
      </c>
      <c r="S10" s="29">
        <v>6865</v>
      </c>
      <c r="T10" s="29">
        <v>9535</v>
      </c>
      <c r="U10" s="116">
        <v>5.5</v>
      </c>
      <c r="W10" s="89" t="s">
        <v>145</v>
      </c>
      <c r="X10" s="93">
        <v>670</v>
      </c>
      <c r="Y10" s="94">
        <v>980</v>
      </c>
      <c r="Z10" s="95">
        <v>1260</v>
      </c>
      <c r="AA10" s="10"/>
      <c r="AB10" s="96" t="s">
        <v>300</v>
      </c>
      <c r="AC10" s="92" t="s">
        <v>305</v>
      </c>
    </row>
    <row r="11" spans="2:28" ht="11.25" customHeight="1">
      <c r="B11" s="230" t="str">
        <f>CONCATENATE(AA15,AA16,AA17)</f>
        <v>Use 7/16 OSB/PLY (APA Grade 24/16) w/ 8d nails @ 6" o/c edges, 12" o/c field, blocking required. </v>
      </c>
      <c r="C11" s="231"/>
      <c r="D11" s="231"/>
      <c r="E11" s="231"/>
      <c r="F11" s="231"/>
      <c r="G11" s="231"/>
      <c r="H11" s="231"/>
      <c r="I11" s="231"/>
      <c r="J11" s="232"/>
      <c r="K11" s="10"/>
      <c r="L11" s="83" t="s">
        <v>147</v>
      </c>
      <c r="M11" s="80" t="s">
        <v>148</v>
      </c>
      <c r="N11" s="10"/>
      <c r="P11" s="30" t="s">
        <v>56</v>
      </c>
      <c r="Q11" s="31">
        <v>1</v>
      </c>
      <c r="R11" s="32">
        <v>5.5</v>
      </c>
      <c r="S11" s="33">
        <v>10350</v>
      </c>
      <c r="T11" s="33">
        <v>14445</v>
      </c>
      <c r="U11" s="92">
        <v>5.5</v>
      </c>
      <c r="W11" s="90" t="s">
        <v>146</v>
      </c>
      <c r="X11" s="96">
        <v>730</v>
      </c>
      <c r="Y11" s="91">
        <v>1065</v>
      </c>
      <c r="Z11" s="92">
        <v>1370</v>
      </c>
      <c r="AA11" s="10"/>
      <c r="AB11" s="10"/>
    </row>
    <row r="12" spans="2:27" ht="11.25" customHeight="1">
      <c r="B12" s="233"/>
      <c r="C12" s="234"/>
      <c r="D12" s="234"/>
      <c r="E12" s="234"/>
      <c r="F12" s="234"/>
      <c r="G12" s="234"/>
      <c r="H12" s="234"/>
      <c r="I12" s="234"/>
      <c r="J12" s="235"/>
      <c r="K12" s="10"/>
      <c r="L12" s="83" t="s">
        <v>180</v>
      </c>
      <c r="M12" s="10">
        <f>IF(B6="PERF",J6,MIN(U33:U37))</f>
        <v>3</v>
      </c>
      <c r="N12" s="10" t="s">
        <v>29</v>
      </c>
      <c r="P12" s="21" t="s">
        <v>57</v>
      </c>
      <c r="W12" s="10"/>
      <c r="X12" s="10"/>
      <c r="Y12" s="10"/>
      <c r="Z12" s="10"/>
      <c r="AA12" s="10"/>
    </row>
    <row r="13" spans="11:27" ht="11.25" customHeight="1">
      <c r="K13" s="10"/>
      <c r="L13" s="83" t="s">
        <v>181</v>
      </c>
      <c r="M13" s="79">
        <f>G5/M12</f>
        <v>3.0833333333333335</v>
      </c>
      <c r="N13" s="106" t="str">
        <f>IF(M13&lt;3.5,"OK","NG")</f>
        <v>OK</v>
      </c>
      <c r="P13" s="12" t="s">
        <v>47</v>
      </c>
      <c r="Q13" s="13" t="s">
        <v>65</v>
      </c>
      <c r="R13" s="13" t="s">
        <v>60</v>
      </c>
      <c r="S13" s="13" t="s">
        <v>66</v>
      </c>
      <c r="T13" s="13" t="s">
        <v>6</v>
      </c>
      <c r="U13" s="14" t="s">
        <v>73</v>
      </c>
      <c r="W13" s="10"/>
      <c r="X13" s="10"/>
      <c r="Y13" s="10"/>
      <c r="Z13" s="10"/>
      <c r="AA13" s="10"/>
    </row>
    <row r="14" spans="2:27" ht="11.25" customHeight="1">
      <c r="B14" s="51" t="s">
        <v>22</v>
      </c>
      <c r="C14" s="17"/>
      <c r="D14" s="17"/>
      <c r="E14" s="17"/>
      <c r="F14" s="17"/>
      <c r="G14" s="17"/>
      <c r="H14" s="17"/>
      <c r="I14" s="17"/>
      <c r="J14" s="17"/>
      <c r="K14" s="17"/>
      <c r="L14" s="83" t="s">
        <v>209</v>
      </c>
      <c r="M14" s="107">
        <f>IF(M13&gt;2,(2*M12)/G5,"N/A")</f>
        <v>0.6486486486486487</v>
      </c>
      <c r="P14" s="4" t="s">
        <v>71</v>
      </c>
      <c r="Q14" s="27">
        <v>0.5</v>
      </c>
      <c r="R14" s="29">
        <v>2270</v>
      </c>
      <c r="S14" s="34">
        <v>12</v>
      </c>
      <c r="T14" s="34">
        <v>4</v>
      </c>
      <c r="U14" s="35">
        <v>6</v>
      </c>
      <c r="W14" s="21" t="s">
        <v>151</v>
      </c>
      <c r="X14" s="10"/>
      <c r="Y14" s="21" t="s">
        <v>202</v>
      </c>
      <c r="Z14" s="21" t="s">
        <v>153</v>
      </c>
      <c r="AA14" s="10"/>
    </row>
    <row r="15" spans="2:27" ht="11.25" customHeight="1">
      <c r="B15" s="236" t="s">
        <v>201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15"/>
      <c r="M15" s="15"/>
      <c r="P15" s="4" t="s">
        <v>67</v>
      </c>
      <c r="Q15" s="27">
        <v>0.625</v>
      </c>
      <c r="R15" s="29">
        <v>2550</v>
      </c>
      <c r="S15" s="34">
        <v>18</v>
      </c>
      <c r="T15" s="34">
        <v>12</v>
      </c>
      <c r="U15" s="35">
        <v>6</v>
      </c>
      <c r="W15" s="10">
        <f>VLOOKUP(M10,$W$5:$Z$6,MATCH(M8,$W$4:$Z$4,0),FALSE)</f>
        <v>480</v>
      </c>
      <c r="X15" s="10"/>
      <c r="Y15" s="109">
        <f>IF(M14="N/A",W15,M14*W15)</f>
        <v>311.35135135135135</v>
      </c>
      <c r="Z15" s="10" t="s">
        <v>154</v>
      </c>
      <c r="AA15" s="10">
        <f>IF(M9="YES","Sheath both sides of shearwall. ","")</f>
      </c>
    </row>
    <row r="16" spans="2:27" ht="11.25" customHeight="1"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15"/>
      <c r="M16" s="15"/>
      <c r="P16" s="4" t="s">
        <v>68</v>
      </c>
      <c r="Q16" s="27">
        <v>0.625</v>
      </c>
      <c r="R16" s="29">
        <v>2960</v>
      </c>
      <c r="S16" s="34">
        <v>22</v>
      </c>
      <c r="T16" s="34">
        <v>16</v>
      </c>
      <c r="U16" s="35">
        <v>6</v>
      </c>
      <c r="W16" s="21" t="s">
        <v>152</v>
      </c>
      <c r="X16" s="10"/>
      <c r="Y16" s="10"/>
      <c r="Z16" s="10" t="s">
        <v>155</v>
      </c>
      <c r="AA16" s="10" t="str">
        <f>CONCATENATE("Use ",M10," OSB/PLY ",AB4," w/ ",M11," nails @ ",M8,""" o/c edges, 12"" o/c field, blocking required. ")</f>
        <v>Use 7/16 OSB/PLY (APA Grade 24/16) w/ 8d nails @ 6" o/c edges, 12" o/c field, blocking required. </v>
      </c>
    </row>
    <row r="17" spans="2:27" ht="11.25" customHeight="1">
      <c r="B17" s="10" t="s">
        <v>295</v>
      </c>
      <c r="C17" s="180" t="s">
        <v>297</v>
      </c>
      <c r="E17" s="17"/>
      <c r="F17" s="51" t="s">
        <v>33</v>
      </c>
      <c r="G17" s="17"/>
      <c r="H17" s="17"/>
      <c r="I17" s="17"/>
      <c r="J17" s="10"/>
      <c r="K17" s="51" t="s">
        <v>36</v>
      </c>
      <c r="L17" s="53"/>
      <c r="M17" s="16" t="s">
        <v>37</v>
      </c>
      <c r="N17" s="10"/>
      <c r="P17" s="4" t="s">
        <v>16</v>
      </c>
      <c r="Q17" s="27">
        <v>0.625</v>
      </c>
      <c r="R17" s="29">
        <v>5730</v>
      </c>
      <c r="S17" s="34">
        <v>24</v>
      </c>
      <c r="T17" s="34">
        <v>18</v>
      </c>
      <c r="U17" s="35">
        <v>6</v>
      </c>
      <c r="W17" s="10">
        <f>VLOOKUP(M10,$W$10:$Z$11,MATCH(M8,$W$9:$Z$9,0),FALSE)</f>
        <v>670</v>
      </c>
      <c r="X17" s="10"/>
      <c r="Y17" s="10"/>
      <c r="Z17" s="10" t="s">
        <v>156</v>
      </c>
      <c r="AA17" s="10">
        <f>IF(W17&gt;700,"Members and blocking at adjoining panel edges shall be min. 3"" nominal or double 2"" nominal with staggered nailing at all panel edges.","")</f>
      </c>
    </row>
    <row r="18" spans="2:27" ht="11.25" customHeight="1">
      <c r="B18" s="17" t="s">
        <v>106</v>
      </c>
      <c r="C18" s="182">
        <v>0.625</v>
      </c>
      <c r="D18" s="17" t="s">
        <v>82</v>
      </c>
      <c r="E18" s="10"/>
      <c r="F18" s="104" t="s">
        <v>110</v>
      </c>
      <c r="G18" s="182">
        <v>12</v>
      </c>
      <c r="H18" s="17" t="s">
        <v>23</v>
      </c>
      <c r="I18" s="54"/>
      <c r="J18" s="10"/>
      <c r="K18" s="104" t="s">
        <v>111</v>
      </c>
      <c r="L18" s="181">
        <v>22.67</v>
      </c>
      <c r="M18" s="16" t="s">
        <v>23</v>
      </c>
      <c r="N18" s="10"/>
      <c r="P18" s="4" t="s">
        <v>69</v>
      </c>
      <c r="Q18" s="27">
        <v>0.875</v>
      </c>
      <c r="R18" s="29">
        <v>7855</v>
      </c>
      <c r="S18" s="34">
        <v>24</v>
      </c>
      <c r="T18" s="34">
        <v>18</v>
      </c>
      <c r="U18" s="35">
        <v>8</v>
      </c>
      <c r="W18" s="10"/>
      <c r="X18" s="10"/>
      <c r="Y18" s="10"/>
      <c r="Z18" s="10"/>
      <c r="AA18" s="10"/>
    </row>
    <row r="19" spans="2:37" ht="11.25" customHeight="1">
      <c r="B19" s="17" t="s">
        <v>107</v>
      </c>
      <c r="C19" s="52">
        <f>VLOOKUP(C18,AE4:AI9,MATCH(C17,AE3:AI3,0),FALSE)</f>
        <v>780</v>
      </c>
      <c r="D19" s="17" t="s">
        <v>24</v>
      </c>
      <c r="E19" s="10"/>
      <c r="F19" s="104" t="s">
        <v>112</v>
      </c>
      <c r="G19" s="183">
        <v>0.986</v>
      </c>
      <c r="H19" s="17" t="s">
        <v>25</v>
      </c>
      <c r="I19" s="18" t="s">
        <v>74</v>
      </c>
      <c r="J19" s="10"/>
      <c r="K19" s="83" t="s">
        <v>113</v>
      </c>
      <c r="L19" s="10">
        <f>G5/2</f>
        <v>4.625</v>
      </c>
      <c r="M19" s="10" t="s">
        <v>29</v>
      </c>
      <c r="N19" s="10"/>
      <c r="P19" s="30" t="s">
        <v>70</v>
      </c>
      <c r="Q19" s="31">
        <v>1</v>
      </c>
      <c r="R19" s="33">
        <v>8315</v>
      </c>
      <c r="S19" s="36">
        <v>30</v>
      </c>
      <c r="T19" s="36">
        <v>24</v>
      </c>
      <c r="U19" s="37">
        <v>8</v>
      </c>
      <c r="W19" s="10"/>
      <c r="X19" s="10"/>
      <c r="Y19" s="10"/>
      <c r="Z19" s="10"/>
      <c r="AA19" s="10"/>
      <c r="AK19" s="10"/>
    </row>
    <row r="20" spans="2:27" ht="11.25" customHeight="1">
      <c r="B20" s="17" t="s">
        <v>108</v>
      </c>
      <c r="C20" s="52">
        <f>VLOOKUP(C18,AK4:AO9,MATCH(C17,AK3:AO3,0),FALSE)</f>
        <v>320</v>
      </c>
      <c r="D20" s="17" t="s">
        <v>24</v>
      </c>
      <c r="E20" s="17"/>
      <c r="F20" s="104" t="s">
        <v>114</v>
      </c>
      <c r="G20" s="184">
        <v>1</v>
      </c>
      <c r="H20" s="17"/>
      <c r="I20" s="17"/>
      <c r="J20" s="10"/>
      <c r="K20" s="243" t="s">
        <v>38</v>
      </c>
      <c r="L20" s="243"/>
      <c r="M20" s="243"/>
      <c r="N20" s="243"/>
      <c r="P20" s="6" t="s">
        <v>72</v>
      </c>
      <c r="W20" s="10"/>
      <c r="X20" s="10"/>
      <c r="Y20" s="10"/>
      <c r="Z20" s="10"/>
      <c r="AA20" s="10"/>
    </row>
    <row r="21" spans="2:37" ht="11.25" customHeight="1">
      <c r="B21" s="7" t="s">
        <v>28</v>
      </c>
      <c r="C21" s="17"/>
      <c r="D21" s="17"/>
      <c r="E21" s="17"/>
      <c r="F21" s="104" t="s">
        <v>26</v>
      </c>
      <c r="G21" s="184">
        <v>1</v>
      </c>
      <c r="H21" s="17" t="s">
        <v>27</v>
      </c>
      <c r="I21" s="17"/>
      <c r="J21" s="10"/>
      <c r="K21" s="243"/>
      <c r="L21" s="243"/>
      <c r="M21" s="243"/>
      <c r="N21" s="243"/>
      <c r="P21" s="21" t="s">
        <v>58</v>
      </c>
      <c r="S21" s="10"/>
      <c r="T21" s="21" t="s">
        <v>136</v>
      </c>
      <c r="U21" s="10"/>
      <c r="V21" s="21" t="s">
        <v>138</v>
      </c>
      <c r="X21" s="21" t="s">
        <v>144</v>
      </c>
      <c r="Z21" s="21" t="s">
        <v>185</v>
      </c>
      <c r="AK21" s="21" t="s">
        <v>347</v>
      </c>
    </row>
    <row r="22" spans="2:41" ht="11.25" customHeight="1">
      <c r="B22" s="17" t="s">
        <v>109</v>
      </c>
      <c r="C22" s="182">
        <v>1.6</v>
      </c>
      <c r="D22" s="17" t="s">
        <v>32</v>
      </c>
      <c r="E22" s="52"/>
      <c r="F22" s="104" t="s">
        <v>34</v>
      </c>
      <c r="G22" s="55">
        <f>G5</f>
        <v>9.25</v>
      </c>
      <c r="H22" s="17" t="s">
        <v>29</v>
      </c>
      <c r="I22" s="17"/>
      <c r="J22" s="10"/>
      <c r="K22" s="104" t="s">
        <v>117</v>
      </c>
      <c r="L22" s="56">
        <f>0.6*L18*L19*D5</f>
        <v>1761.459</v>
      </c>
      <c r="M22" s="10" t="s">
        <v>24</v>
      </c>
      <c r="N22" s="10"/>
      <c r="P22" s="12" t="s">
        <v>47</v>
      </c>
      <c r="Q22" s="13" t="s">
        <v>59</v>
      </c>
      <c r="R22" s="14" t="s">
        <v>60</v>
      </c>
      <c r="S22" s="10"/>
      <c r="T22" s="84">
        <v>6</v>
      </c>
      <c r="U22" s="10"/>
      <c r="V22" s="84" t="s">
        <v>139</v>
      </c>
      <c r="X22" s="98" t="s">
        <v>145</v>
      </c>
      <c r="Z22" s="110" t="s">
        <v>105</v>
      </c>
      <c r="AA22" s="115">
        <v>600</v>
      </c>
      <c r="AB22" s="95" t="s">
        <v>189</v>
      </c>
      <c r="AC22" s="93" t="s">
        <v>191</v>
      </c>
      <c r="AD22" s="118"/>
      <c r="AE22" s="118"/>
      <c r="AF22" s="118"/>
      <c r="AG22" s="118"/>
      <c r="AH22" s="94" t="s">
        <v>195</v>
      </c>
      <c r="AI22" s="119"/>
      <c r="AK22" s="93" t="str">
        <f>CONCATENATE("Use ",Z22," clips for top plt./blocking connection @ ",$E$35,""" o/c spacing.")</f>
        <v>Use A35 clips for top plt./blocking connection @ 60" o/c spacing.</v>
      </c>
      <c r="AL22" s="118"/>
      <c r="AM22" s="118"/>
      <c r="AN22" s="118"/>
      <c r="AO22" s="119"/>
    </row>
    <row r="23" spans="2:41" ht="11.25" customHeight="1">
      <c r="B23" s="17" t="s">
        <v>107</v>
      </c>
      <c r="C23" s="17">
        <f>C19*C22</f>
        <v>1248</v>
      </c>
      <c r="D23" s="17" t="s">
        <v>24</v>
      </c>
      <c r="E23" s="17"/>
      <c r="F23" s="104" t="s">
        <v>30</v>
      </c>
      <c r="G23" s="185">
        <v>1</v>
      </c>
      <c r="H23" s="17" t="s">
        <v>31</v>
      </c>
      <c r="I23" s="57"/>
      <c r="J23" s="57"/>
      <c r="K23" s="57"/>
      <c r="L23" s="10"/>
      <c r="M23" s="10"/>
      <c r="N23" s="10"/>
      <c r="P23" s="4" t="s">
        <v>61</v>
      </c>
      <c r="Q23" s="27">
        <v>0.5</v>
      </c>
      <c r="R23" s="38">
        <v>4265</v>
      </c>
      <c r="S23" s="10"/>
      <c r="T23" s="85">
        <v>4</v>
      </c>
      <c r="U23" s="10"/>
      <c r="V23" s="86" t="s">
        <v>140</v>
      </c>
      <c r="X23" s="99" t="s">
        <v>146</v>
      </c>
      <c r="Z23" s="111" t="s">
        <v>186</v>
      </c>
      <c r="AA23" s="113">
        <v>445</v>
      </c>
      <c r="AB23" s="116" t="s">
        <v>189</v>
      </c>
      <c r="AC23" s="120" t="s">
        <v>193</v>
      </c>
      <c r="AD23" s="121"/>
      <c r="AE23" s="121"/>
      <c r="AF23" s="121"/>
      <c r="AG23" s="121"/>
      <c r="AH23" s="114" t="s">
        <v>195</v>
      </c>
      <c r="AI23" s="122"/>
      <c r="AK23" s="120" t="str">
        <f>CONCATENATE("Use ",Z23," clips for top plt./blocking connection @ ",$E$35,""" o/c spacing.")</f>
        <v>Use A34 clips for top plt./blocking connection @ 60" o/c spacing.</v>
      </c>
      <c r="AL23" s="121"/>
      <c r="AM23" s="121"/>
      <c r="AN23" s="121"/>
      <c r="AO23" s="122"/>
    </row>
    <row r="24" spans="2:41" ht="11.25" customHeight="1">
      <c r="B24" s="17" t="s">
        <v>108</v>
      </c>
      <c r="C24" s="17">
        <f>C20*C22</f>
        <v>512</v>
      </c>
      <c r="D24" s="17" t="s">
        <v>24</v>
      </c>
      <c r="E24" s="17"/>
      <c r="F24" s="8" t="s">
        <v>35</v>
      </c>
      <c r="G24" s="57"/>
      <c r="H24" s="57"/>
      <c r="I24" s="57"/>
      <c r="J24" s="57"/>
      <c r="K24" s="57" t="str">
        <f>IF(G25&lt;L22,"Wind Load Governs:","Seismic Load Governs:")</f>
        <v>Wind Load Governs:</v>
      </c>
      <c r="L24" s="10"/>
      <c r="M24" s="10"/>
      <c r="N24" s="10"/>
      <c r="P24" s="4" t="s">
        <v>62</v>
      </c>
      <c r="Q24" s="27">
        <v>0.625</v>
      </c>
      <c r="R24" s="38">
        <v>6675</v>
      </c>
      <c r="S24" s="10"/>
      <c r="T24" s="86">
        <v>3</v>
      </c>
      <c r="U24" s="10"/>
      <c r="V24" s="10"/>
      <c r="Z24" s="111" t="s">
        <v>187</v>
      </c>
      <c r="AA24" s="113">
        <v>575</v>
      </c>
      <c r="AB24" s="116" t="s">
        <v>190</v>
      </c>
      <c r="AC24" s="120" t="s">
        <v>194</v>
      </c>
      <c r="AD24" s="121"/>
      <c r="AE24" s="121"/>
      <c r="AF24" s="121"/>
      <c r="AG24" s="121"/>
      <c r="AH24" s="114" t="s">
        <v>196</v>
      </c>
      <c r="AI24" s="122"/>
      <c r="AK24" s="120" t="str">
        <f>CONCATENATE("Use ",Z24," clips for top plt./blocking connection @ ",$E$35,""" o/c spacing.")</f>
        <v>Use LTP4 clips for top plt./blocking connection @ 60" o/c spacing.</v>
      </c>
      <c r="AL24" s="121"/>
      <c r="AM24" s="121"/>
      <c r="AN24" s="121"/>
      <c r="AO24" s="122"/>
    </row>
    <row r="25" spans="6:41" ht="11.25" customHeight="1">
      <c r="F25" s="104" t="s">
        <v>115</v>
      </c>
      <c r="G25" s="56">
        <f>0.7*G23*0.4*G19*G21*G20*G18*G22*D5*0.5</f>
        <v>429.02832</v>
      </c>
      <c r="H25" s="10" t="s">
        <v>24</v>
      </c>
      <c r="I25" s="10"/>
      <c r="J25" s="10"/>
      <c r="K25" s="104" t="s">
        <v>116</v>
      </c>
      <c r="L25" s="47">
        <f>MAX(G25,L22)</f>
        <v>1761.459</v>
      </c>
      <c r="M25" s="10" t="s">
        <v>24</v>
      </c>
      <c r="N25" s="10"/>
      <c r="P25" s="4" t="s">
        <v>63</v>
      </c>
      <c r="Q25" s="27">
        <v>0.875</v>
      </c>
      <c r="R25" s="38">
        <v>13080</v>
      </c>
      <c r="S25" s="10"/>
      <c r="T25" s="10"/>
      <c r="U25" s="10"/>
      <c r="V25" s="10"/>
      <c r="Z25" s="112" t="s">
        <v>188</v>
      </c>
      <c r="AA25" s="117">
        <v>535</v>
      </c>
      <c r="AB25" s="92" t="s">
        <v>190</v>
      </c>
      <c r="AC25" s="96" t="s">
        <v>192</v>
      </c>
      <c r="AD25" s="123"/>
      <c r="AE25" s="123"/>
      <c r="AF25" s="123"/>
      <c r="AG25" s="123"/>
      <c r="AH25" s="91" t="s">
        <v>196</v>
      </c>
      <c r="AI25" s="124"/>
      <c r="AK25" s="120" t="str">
        <f>CONCATENATE("Use ",Z25," clips for top plt./blocking connection @ ",$E$35,""" o/c spacing.")</f>
        <v>Use LTP5 clips for top plt./blocking connection @ 60" o/c spacing.</v>
      </c>
      <c r="AL25" s="121"/>
      <c r="AM25" s="121"/>
      <c r="AN25" s="121"/>
      <c r="AO25" s="122"/>
    </row>
    <row r="26" spans="2:41" ht="11.25" customHeight="1">
      <c r="B26" s="19" t="s">
        <v>42</v>
      </c>
      <c r="C26" s="59" t="s">
        <v>43</v>
      </c>
      <c r="D26" s="59" t="s">
        <v>41</v>
      </c>
      <c r="E26" s="60" t="s">
        <v>44</v>
      </c>
      <c r="G26" s="10"/>
      <c r="H26" s="10"/>
      <c r="I26" s="10"/>
      <c r="J26" s="10"/>
      <c r="K26" s="10"/>
      <c r="L26" s="10"/>
      <c r="M26" s="10"/>
      <c r="N26" s="10"/>
      <c r="O26" s="10"/>
      <c r="P26" s="30" t="s">
        <v>64</v>
      </c>
      <c r="Q26" s="31">
        <v>1</v>
      </c>
      <c r="R26" s="39">
        <v>17080</v>
      </c>
      <c r="S26" s="10"/>
      <c r="T26" s="21" t="s">
        <v>320</v>
      </c>
      <c r="U26" s="10"/>
      <c r="V26" s="10"/>
      <c r="Z26" s="223" t="s">
        <v>340</v>
      </c>
      <c r="AA26" s="224">
        <v>415</v>
      </c>
      <c r="AB26" s="225" t="s">
        <v>189</v>
      </c>
      <c r="AC26" s="226" t="s">
        <v>341</v>
      </c>
      <c r="AD26" s="227"/>
      <c r="AE26" s="227"/>
      <c r="AF26" s="227"/>
      <c r="AG26" s="227"/>
      <c r="AH26" s="228" t="s">
        <v>342</v>
      </c>
      <c r="AI26" s="229"/>
      <c r="AK26" s="96" t="str">
        <f>CONCATENATE("Use ",Z26," ties for top plt./blocking connection @ ",$E$35,""" o/c spacing.")</f>
        <v>Use H1 ties for top plt./blocking connection @ 60" o/c spacing.</v>
      </c>
      <c r="AL26" s="123"/>
      <c r="AM26" s="123"/>
      <c r="AN26" s="123"/>
      <c r="AO26" s="124"/>
    </row>
    <row r="27" spans="2:22" ht="11.25" customHeight="1">
      <c r="B27" s="61" t="s">
        <v>39</v>
      </c>
      <c r="C27" s="62">
        <f>L25</f>
        <v>1761.459</v>
      </c>
      <c r="D27" s="63">
        <f>C27/C24</f>
        <v>3.440349609375</v>
      </c>
      <c r="E27" s="101">
        <f>$H$27/D27</f>
        <v>2.3253450690592286</v>
      </c>
      <c r="G27" s="83" t="s">
        <v>171</v>
      </c>
      <c r="H27" s="179">
        <v>8</v>
      </c>
      <c r="I27" s="10" t="s">
        <v>29</v>
      </c>
      <c r="J27" s="57" t="s">
        <v>172</v>
      </c>
      <c r="K27" s="10"/>
      <c r="L27" s="10"/>
      <c r="M27" s="10"/>
      <c r="N27" s="10"/>
      <c r="O27" s="10"/>
      <c r="P27" s="10"/>
      <c r="Q27" s="10"/>
      <c r="R27" s="10"/>
      <c r="S27" s="10"/>
      <c r="T27" s="84" t="s">
        <v>321</v>
      </c>
      <c r="U27" s="10"/>
      <c r="V27" s="10"/>
    </row>
    <row r="28" spans="2:33" ht="11.25" customHeight="1">
      <c r="B28" s="64" t="s">
        <v>40</v>
      </c>
      <c r="C28" s="65">
        <f>C5</f>
        <v>1709</v>
      </c>
      <c r="D28" s="66">
        <f>C28/C23</f>
        <v>1.3693910256410255</v>
      </c>
      <c r="E28" s="102">
        <f>$H$27/D28</f>
        <v>5.842012873025161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85" t="s">
        <v>322</v>
      </c>
      <c r="U28" s="10"/>
      <c r="V28" s="10"/>
      <c r="AD28" s="21" t="s">
        <v>159</v>
      </c>
      <c r="AG28" s="21" t="s">
        <v>307</v>
      </c>
    </row>
    <row r="29" spans="7:47" ht="11.25" customHeight="1">
      <c r="G29" s="237" t="s">
        <v>350</v>
      </c>
      <c r="H29" s="238"/>
      <c r="I29" s="238"/>
      <c r="J29" s="238"/>
      <c r="K29" s="238"/>
      <c r="L29" s="239"/>
      <c r="M29" s="10"/>
      <c r="N29" s="10"/>
      <c r="O29" s="10"/>
      <c r="P29" s="10"/>
      <c r="Q29" s="10"/>
      <c r="R29" s="10"/>
      <c r="S29" s="10"/>
      <c r="T29" s="86" t="s">
        <v>323</v>
      </c>
      <c r="U29" s="10"/>
      <c r="AD29" s="93" t="s">
        <v>160</v>
      </c>
      <c r="AE29" s="170">
        <f>1*1.5*5.5</f>
        <v>8.25</v>
      </c>
      <c r="AG29" s="193" t="s">
        <v>47</v>
      </c>
      <c r="AH29" s="125" t="s">
        <v>160</v>
      </c>
      <c r="AI29" s="125" t="s">
        <v>17</v>
      </c>
      <c r="AJ29" s="125" t="s">
        <v>161</v>
      </c>
      <c r="AK29" s="125" t="s">
        <v>162</v>
      </c>
      <c r="AL29" s="125" t="s">
        <v>165</v>
      </c>
      <c r="AM29" s="125" t="s">
        <v>163</v>
      </c>
      <c r="AN29" s="125" t="s">
        <v>164</v>
      </c>
      <c r="AO29" s="125" t="s">
        <v>166</v>
      </c>
      <c r="AP29" s="125" t="s">
        <v>167</v>
      </c>
      <c r="AQ29" s="125" t="s">
        <v>168</v>
      </c>
      <c r="AR29" s="125" t="s">
        <v>169</v>
      </c>
      <c r="AS29" s="125" t="s">
        <v>174</v>
      </c>
      <c r="AT29" s="125" t="s">
        <v>175</v>
      </c>
      <c r="AU29" s="195" t="s">
        <v>176</v>
      </c>
    </row>
    <row r="30" spans="2:47" ht="11.25" customHeight="1">
      <c r="B30" s="188" t="s">
        <v>105</v>
      </c>
      <c r="C30" s="21" t="str">
        <f>VLOOKUP(B30,Z22:AH26,9,FALSE)</f>
        <v>Framing Angle Spacing</v>
      </c>
      <c r="D30" s="10"/>
      <c r="E30" s="10"/>
      <c r="G30" s="240"/>
      <c r="H30" s="241"/>
      <c r="I30" s="241"/>
      <c r="J30" s="241"/>
      <c r="K30" s="241"/>
      <c r="L30" s="242"/>
      <c r="M30" s="10"/>
      <c r="N30" s="10"/>
      <c r="O30" s="10"/>
      <c r="P30" s="10"/>
      <c r="Q30" s="10"/>
      <c r="R30" s="10"/>
      <c r="S30" s="10"/>
      <c r="T30" s="10"/>
      <c r="U30" s="10"/>
      <c r="X30" s="10" t="s">
        <v>205</v>
      </c>
      <c r="AD30" s="120" t="s">
        <v>17</v>
      </c>
      <c r="AE30" s="171">
        <f>2*1.5*5.5</f>
        <v>16.5</v>
      </c>
      <c r="AG30" s="198" t="s">
        <v>46</v>
      </c>
      <c r="AH30" s="206">
        <v>0.105</v>
      </c>
      <c r="AI30" s="207">
        <v>0.128</v>
      </c>
      <c r="AJ30" s="207">
        <v>0.128</v>
      </c>
      <c r="AK30" s="207">
        <v>0.128</v>
      </c>
      <c r="AL30" s="207">
        <v>0.128</v>
      </c>
      <c r="AM30" s="207">
        <v>0.128</v>
      </c>
      <c r="AN30" s="207">
        <v>0.128</v>
      </c>
      <c r="AO30" s="207">
        <v>0.128</v>
      </c>
      <c r="AP30" s="207">
        <v>0.105</v>
      </c>
      <c r="AQ30" s="207">
        <v>0.128</v>
      </c>
      <c r="AR30" s="207">
        <v>0.128</v>
      </c>
      <c r="AS30" s="207">
        <v>0.105</v>
      </c>
      <c r="AT30" s="207">
        <v>0.128</v>
      </c>
      <c r="AU30" s="208">
        <v>0.128</v>
      </c>
    </row>
    <row r="31" spans="2:47" ht="11.25" customHeight="1">
      <c r="B31" s="68" t="str">
        <f>VLOOKUP(B30,Z22:AC26,4,FALSE)</f>
        <v>Provide full depth blocking with A35 clips to top plt. per plan.</v>
      </c>
      <c r="C31" s="10"/>
      <c r="D31" s="10"/>
      <c r="E31" s="10"/>
      <c r="G31" s="10"/>
      <c r="H31" s="10"/>
      <c r="I31" s="10"/>
      <c r="J31" s="10"/>
      <c r="K31" s="108">
        <f>IF(M5=Z38,"","Number of Panels Incorrect")</f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 t="s">
        <v>203</v>
      </c>
      <c r="X31" s="10" t="s">
        <v>142</v>
      </c>
      <c r="Y31" s="10"/>
      <c r="AD31" s="120" t="s">
        <v>161</v>
      </c>
      <c r="AE31" s="171">
        <f>3*1.5*5.5</f>
        <v>24.75</v>
      </c>
      <c r="AG31" s="196" t="s">
        <v>52</v>
      </c>
      <c r="AH31" s="209" t="s">
        <v>316</v>
      </c>
      <c r="AI31" s="210">
        <v>0.088</v>
      </c>
      <c r="AJ31" s="210">
        <v>0.088</v>
      </c>
      <c r="AK31" s="210">
        <v>0.088</v>
      </c>
      <c r="AL31" s="210">
        <v>0.088</v>
      </c>
      <c r="AM31" s="210">
        <v>0.088</v>
      </c>
      <c r="AN31" s="210">
        <v>0.088</v>
      </c>
      <c r="AO31" s="210">
        <v>0.088</v>
      </c>
      <c r="AP31" s="211" t="s">
        <v>316</v>
      </c>
      <c r="AQ31" s="210">
        <v>0.088</v>
      </c>
      <c r="AR31" s="210">
        <v>0.088</v>
      </c>
      <c r="AS31" s="211" t="s">
        <v>316</v>
      </c>
      <c r="AT31" s="210">
        <v>0.088</v>
      </c>
      <c r="AU31" s="212">
        <v>0.088</v>
      </c>
    </row>
    <row r="32" spans="2:47" ht="11.25" customHeight="1">
      <c r="B32" s="83" t="s">
        <v>173</v>
      </c>
      <c r="C32" s="179">
        <v>28</v>
      </c>
      <c r="D32" s="10" t="s">
        <v>170</v>
      </c>
      <c r="G32" s="21" t="s">
        <v>51</v>
      </c>
      <c r="H32" s="44" t="s">
        <v>88</v>
      </c>
      <c r="I32" s="10"/>
      <c r="J32" s="10"/>
      <c r="K32" s="11" t="s">
        <v>77</v>
      </c>
      <c r="L32" s="11" t="s">
        <v>179</v>
      </c>
      <c r="M32" s="11" t="s">
        <v>120</v>
      </c>
      <c r="N32" s="10"/>
      <c r="O32" s="10"/>
      <c r="P32" s="133" t="s">
        <v>121</v>
      </c>
      <c r="Q32" s="133" t="s">
        <v>122</v>
      </c>
      <c r="R32" s="133" t="s">
        <v>123</v>
      </c>
      <c r="S32" s="133" t="s">
        <v>124</v>
      </c>
      <c r="T32" s="202" t="s">
        <v>315</v>
      </c>
      <c r="U32" s="76" t="s">
        <v>178</v>
      </c>
      <c r="V32" s="76" t="s">
        <v>203</v>
      </c>
      <c r="W32" s="76" t="s">
        <v>204</v>
      </c>
      <c r="X32" s="76" t="s">
        <v>197</v>
      </c>
      <c r="Y32" s="76" t="s">
        <v>208</v>
      </c>
      <c r="Z32" s="76" t="s">
        <v>324</v>
      </c>
      <c r="AD32" s="120" t="s">
        <v>162</v>
      </c>
      <c r="AE32" s="171">
        <f>4*1.5*5.5</f>
        <v>33</v>
      </c>
      <c r="AG32" s="196" t="s">
        <v>15</v>
      </c>
      <c r="AH32" s="209" t="s">
        <v>316</v>
      </c>
      <c r="AI32" s="210">
        <v>0.114</v>
      </c>
      <c r="AJ32" s="210">
        <v>0.114</v>
      </c>
      <c r="AK32" s="210">
        <v>0.114</v>
      </c>
      <c r="AL32" s="210">
        <v>0.114</v>
      </c>
      <c r="AM32" s="210">
        <v>0.114</v>
      </c>
      <c r="AN32" s="210">
        <v>0.114</v>
      </c>
      <c r="AO32" s="210">
        <v>0.114</v>
      </c>
      <c r="AP32" s="211" t="s">
        <v>316</v>
      </c>
      <c r="AQ32" s="210">
        <v>0.114</v>
      </c>
      <c r="AR32" s="210">
        <v>0.114</v>
      </c>
      <c r="AS32" s="211" t="s">
        <v>316</v>
      </c>
      <c r="AT32" s="210">
        <v>0.114</v>
      </c>
      <c r="AU32" s="212">
        <v>0.114</v>
      </c>
    </row>
    <row r="33" spans="2:47" ht="11.25" customHeight="1">
      <c r="B33" s="104" t="s">
        <v>119</v>
      </c>
      <c r="C33" s="52">
        <f>VLOOKUP(B30,Z22:AA26,2,FALSE)</f>
        <v>600</v>
      </c>
      <c r="D33" s="17" t="s">
        <v>24</v>
      </c>
      <c r="E33" s="6" t="str">
        <f>CONCATENATE("(",VLOOKUP(B30,Z22:AC26,3,FALSE)," direction)")</f>
        <v>(F1 direction)</v>
      </c>
      <c r="G33" s="10" t="s">
        <v>335</v>
      </c>
      <c r="H33" s="69">
        <f>C8*1.4</f>
        <v>211.16666666666666</v>
      </c>
      <c r="I33" s="10" t="s">
        <v>20</v>
      </c>
      <c r="J33" s="10"/>
      <c r="K33" s="70">
        <v>1</v>
      </c>
      <c r="L33" s="177">
        <v>3</v>
      </c>
      <c r="M33" s="71">
        <f>_xlfn.IFERROR(T33,"--")</f>
        <v>0.43238508313449703</v>
      </c>
      <c r="N33" s="10" t="s">
        <v>82</v>
      </c>
      <c r="O33" s="163">
        <f>IF(B6="PERF","&lt; - USE THIS LINE ONLY","")</f>
      </c>
      <c r="P33" s="72">
        <f>(8*$H$33*$G$5^3)/($H$34*$H$35*L33)</f>
        <v>0.016881668507996633</v>
      </c>
      <c r="Q33" s="72">
        <f>IF($H$40="YES",$H$33*$G$5/(2*$H$36),$H$33*$G$5/$H$36)</f>
        <v>0.023392714570858283</v>
      </c>
      <c r="R33" s="72">
        <f>0.75*$G$5*$H$38</f>
        <v>0.04061070005564212</v>
      </c>
      <c r="S33" s="72">
        <f>IF(B6="PERF",$G$5*$H$37/$H$6,$G$5*$H$37/L33)</f>
        <v>0.3515</v>
      </c>
      <c r="T33" s="203">
        <f>SUM(P33:S33)</f>
        <v>0.43238508313449703</v>
      </c>
      <c r="U33" s="10">
        <f>IF(L33=0,100000,L33)</f>
        <v>3</v>
      </c>
      <c r="V33" s="72">
        <f>$G$5/U33</f>
        <v>3.0833333333333335</v>
      </c>
      <c r="W33" s="109">
        <f>IF(V33&gt;2,(2*U33)/$G$5,1)</f>
        <v>0.6486486486486487</v>
      </c>
      <c r="X33" s="134">
        <f>$W$15*W33</f>
        <v>311.35135135135135</v>
      </c>
      <c r="Y33" s="134">
        <f>X33*L33</f>
        <v>934.0540540540541</v>
      </c>
      <c r="Z33" s="10">
        <f>IF(L33=0,0,1)</f>
        <v>1</v>
      </c>
      <c r="AD33" s="120" t="s">
        <v>165</v>
      </c>
      <c r="AE33" s="171">
        <f>3.5*3.5</f>
        <v>12.25</v>
      </c>
      <c r="AG33" s="196" t="s">
        <v>53</v>
      </c>
      <c r="AH33" s="209" t="s">
        <v>316</v>
      </c>
      <c r="AI33" s="211">
        <v>0.115</v>
      </c>
      <c r="AJ33" s="211">
        <v>0.115</v>
      </c>
      <c r="AK33" s="211">
        <v>0.115</v>
      </c>
      <c r="AL33" s="211">
        <v>0.115</v>
      </c>
      <c r="AM33" s="211">
        <v>0.115</v>
      </c>
      <c r="AN33" s="211">
        <v>0.115</v>
      </c>
      <c r="AO33" s="211">
        <v>0.115</v>
      </c>
      <c r="AP33" s="211" t="s">
        <v>316</v>
      </c>
      <c r="AQ33" s="211">
        <v>0.115</v>
      </c>
      <c r="AR33" s="211">
        <v>0.115</v>
      </c>
      <c r="AS33" s="211" t="s">
        <v>316</v>
      </c>
      <c r="AT33" s="211">
        <v>0.115</v>
      </c>
      <c r="AU33" s="213">
        <v>0.115</v>
      </c>
    </row>
    <row r="34" spans="2:47" ht="11.25" customHeight="1">
      <c r="B34" s="83" t="s">
        <v>75</v>
      </c>
      <c r="C34" s="67">
        <f>C5/C32</f>
        <v>61.035714285714285</v>
      </c>
      <c r="D34" s="10" t="s">
        <v>20</v>
      </c>
      <c r="E34" s="10"/>
      <c r="G34" s="10" t="s">
        <v>78</v>
      </c>
      <c r="H34" s="186">
        <v>1600000</v>
      </c>
      <c r="I34" s="10" t="s">
        <v>81</v>
      </c>
      <c r="J34" s="10"/>
      <c r="K34" s="70">
        <v>2</v>
      </c>
      <c r="L34" s="177">
        <v>3</v>
      </c>
      <c r="M34" s="71">
        <f>_xlfn.IFERROR(T34,"--")</f>
        <v>0.43238508313449703</v>
      </c>
      <c r="N34" s="10" t="s">
        <v>82</v>
      </c>
      <c r="O34" s="10"/>
      <c r="P34" s="72">
        <f>(8*$H$33*$G$5^3)/($H$34*$H$35*L34)</f>
        <v>0.016881668507996633</v>
      </c>
      <c r="Q34" s="72">
        <f>IF($H$40="YES",$H$33*$G$5/(2*$H$36),$H$33*$G$5/$H$36)</f>
        <v>0.023392714570858283</v>
      </c>
      <c r="R34" s="72">
        <f>0.75*$G$5*$H$38</f>
        <v>0.04061070005564212</v>
      </c>
      <c r="S34" s="72">
        <f>$G$5*$H$37/L34</f>
        <v>0.3515</v>
      </c>
      <c r="T34" s="203">
        <f>SUM(P34:S34)</f>
        <v>0.43238508313449703</v>
      </c>
      <c r="U34" s="10">
        <f>IF(L34=0,100000,L34)</f>
        <v>3</v>
      </c>
      <c r="V34" s="72">
        <f>$G$5/U34</f>
        <v>3.0833333333333335</v>
      </c>
      <c r="W34" s="109">
        <f>IF(V34&gt;2,(2*U34)/$G$5,1)</f>
        <v>0.6486486486486487</v>
      </c>
      <c r="X34" s="134">
        <f>$W$15*W34</f>
        <v>311.35135135135135</v>
      </c>
      <c r="Y34" s="134">
        <f>X34*L34</f>
        <v>934.0540540540541</v>
      </c>
      <c r="Z34" s="10">
        <f>IF(L34=0,0,1)</f>
        <v>1</v>
      </c>
      <c r="AD34" s="120" t="s">
        <v>163</v>
      </c>
      <c r="AE34" s="171">
        <f>3.5*5.5</f>
        <v>19.25</v>
      </c>
      <c r="AG34" s="196" t="s">
        <v>54</v>
      </c>
      <c r="AH34" s="209" t="s">
        <v>316</v>
      </c>
      <c r="AI34" s="211">
        <v>0.084</v>
      </c>
      <c r="AJ34" s="211">
        <v>0.113</v>
      </c>
      <c r="AK34" s="211">
        <v>0.113</v>
      </c>
      <c r="AL34" s="211">
        <v>0.116</v>
      </c>
      <c r="AM34" s="211">
        <v>0.116</v>
      </c>
      <c r="AN34" s="211">
        <v>0.113</v>
      </c>
      <c r="AO34" s="211">
        <v>0.113</v>
      </c>
      <c r="AP34" s="211" t="s">
        <v>316</v>
      </c>
      <c r="AQ34" s="211">
        <v>0.084</v>
      </c>
      <c r="AR34" s="211">
        <v>0.113</v>
      </c>
      <c r="AS34" s="211" t="s">
        <v>316</v>
      </c>
      <c r="AT34" s="211">
        <v>0.084</v>
      </c>
      <c r="AU34" s="213">
        <v>0.113</v>
      </c>
    </row>
    <row r="35" spans="2:47" ht="12" customHeight="1">
      <c r="B35" s="83" t="s">
        <v>344</v>
      </c>
      <c r="C35" s="100">
        <f>C33/C34</f>
        <v>9.830310122878876</v>
      </c>
      <c r="D35" s="10" t="s">
        <v>343</v>
      </c>
      <c r="E35" s="179">
        <v>60</v>
      </c>
      <c r="F35" s="10" t="s">
        <v>345</v>
      </c>
      <c r="G35" s="10" t="s">
        <v>79</v>
      </c>
      <c r="H35" s="73">
        <f>VLOOKUP(L5,AD29:AE42,2,FALSE)</f>
        <v>16.5</v>
      </c>
      <c r="I35" s="82" t="s">
        <v>125</v>
      </c>
      <c r="J35" s="10"/>
      <c r="K35" s="70">
        <v>3</v>
      </c>
      <c r="L35" s="177">
        <v>0</v>
      </c>
      <c r="M35" s="71" t="str">
        <f>_xlfn.IFERROR(T35,"--")</f>
        <v>--</v>
      </c>
      <c r="N35" s="10" t="s">
        <v>82</v>
      </c>
      <c r="O35" s="10"/>
      <c r="P35" s="72" t="e">
        <f>(8*$H$33*$G$5^3)/($H$34*$H$35*L35)</f>
        <v>#DIV/0!</v>
      </c>
      <c r="Q35" s="72">
        <f>IF($H$40="YES",$H$33*$G$5/(2*$H$36),$H$33*$G$5/$H$36)</f>
        <v>0.023392714570858283</v>
      </c>
      <c r="R35" s="72">
        <f>0.75*$G$5*$H$38</f>
        <v>0.04061070005564212</v>
      </c>
      <c r="S35" s="72" t="e">
        <f>$G$5*$H$37/L35</f>
        <v>#DIV/0!</v>
      </c>
      <c r="T35" s="203" t="e">
        <f>SUM(P35:S35)</f>
        <v>#DIV/0!</v>
      </c>
      <c r="U35" s="10">
        <f>IF(L35=0,100000,L35)</f>
        <v>100000</v>
      </c>
      <c r="V35" s="72">
        <f>$G$5/U35</f>
        <v>9.25E-05</v>
      </c>
      <c r="W35" s="109">
        <f>IF(V35&gt;2,(2*U35)/$G$5,1)</f>
        <v>1</v>
      </c>
      <c r="X35" s="134">
        <f>$W$15*W35</f>
        <v>480</v>
      </c>
      <c r="Y35" s="134">
        <f>X35*L35</f>
        <v>0</v>
      </c>
      <c r="Z35" s="10">
        <f>IF(L35=0,0,1)</f>
        <v>0</v>
      </c>
      <c r="AD35" s="120" t="s">
        <v>164</v>
      </c>
      <c r="AE35" s="171">
        <f>5.5*5.5</f>
        <v>30.25</v>
      </c>
      <c r="AG35" s="196" t="s">
        <v>55</v>
      </c>
      <c r="AH35" s="209" t="s">
        <v>316</v>
      </c>
      <c r="AI35" s="211" t="s">
        <v>316</v>
      </c>
      <c r="AJ35" s="211" t="s">
        <v>316</v>
      </c>
      <c r="AK35" s="211">
        <v>0.137</v>
      </c>
      <c r="AL35" s="211" t="s">
        <v>316</v>
      </c>
      <c r="AM35" s="211">
        <v>0.137</v>
      </c>
      <c r="AN35" s="211">
        <v>0.137</v>
      </c>
      <c r="AO35" s="211">
        <v>0.137</v>
      </c>
      <c r="AP35" s="211" t="s">
        <v>316</v>
      </c>
      <c r="AQ35" s="211" t="s">
        <v>316</v>
      </c>
      <c r="AR35" s="211" t="s">
        <v>316</v>
      </c>
      <c r="AS35" s="211" t="s">
        <v>316</v>
      </c>
      <c r="AT35" s="211" t="s">
        <v>316</v>
      </c>
      <c r="AU35" s="213" t="s">
        <v>316</v>
      </c>
    </row>
    <row r="36" spans="2:47" ht="11.25" customHeight="1">
      <c r="B36" s="108">
        <f>IF(C35*12&gt;E35,"","Spacing of ties or angles is inadequate.")</f>
      </c>
      <c r="C36" s="10"/>
      <c r="D36" s="10"/>
      <c r="E36" s="10"/>
      <c r="G36" s="10" t="s">
        <v>80</v>
      </c>
      <c r="H36" s="186">
        <v>83500</v>
      </c>
      <c r="I36" s="10" t="s">
        <v>101</v>
      </c>
      <c r="J36" s="10"/>
      <c r="K36" s="70">
        <v>4</v>
      </c>
      <c r="L36" s="177">
        <v>0</v>
      </c>
      <c r="M36" s="71" t="str">
        <f>_xlfn.IFERROR(T36,"--")</f>
        <v>--</v>
      </c>
      <c r="N36" s="10" t="s">
        <v>82</v>
      </c>
      <c r="O36" s="10"/>
      <c r="P36" s="72" t="e">
        <f>(8*$H$33*$G$5^3)/($H$34*$H$35*L36)</f>
        <v>#DIV/0!</v>
      </c>
      <c r="Q36" s="72">
        <f>IF($H$40="YES",$H$33*$G$5/(2*$H$36),$H$33*$G$5/$H$36)</f>
        <v>0.023392714570858283</v>
      </c>
      <c r="R36" s="72">
        <f>0.75*$G$5*$H$38</f>
        <v>0.04061070005564212</v>
      </c>
      <c r="S36" s="72" t="e">
        <f>$G$5*$H$37/L36</f>
        <v>#DIV/0!</v>
      </c>
      <c r="T36" s="203" t="e">
        <f>SUM(P36:S36)</f>
        <v>#DIV/0!</v>
      </c>
      <c r="U36" s="10">
        <f>IF(L36=0,100000,L36)</f>
        <v>100000</v>
      </c>
      <c r="V36" s="72">
        <f>$G$5/U36</f>
        <v>9.25E-05</v>
      </c>
      <c r="W36" s="109">
        <f>IF(V36&gt;2,(2*U36)/$G$5,1)</f>
        <v>1</v>
      </c>
      <c r="X36" s="134">
        <f>$W$15*W36</f>
        <v>480</v>
      </c>
      <c r="Y36" s="134">
        <f>X36*L36</f>
        <v>0</v>
      </c>
      <c r="Z36" s="10">
        <f>IF(L36=0,0,1)</f>
        <v>0</v>
      </c>
      <c r="AD36" s="120" t="s">
        <v>166</v>
      </c>
      <c r="AE36" s="171">
        <f>5.5*7.25</f>
        <v>39.875</v>
      </c>
      <c r="AG36" s="196" t="s">
        <v>56</v>
      </c>
      <c r="AH36" s="209" t="s">
        <v>316</v>
      </c>
      <c r="AI36" s="211" t="s">
        <v>316</v>
      </c>
      <c r="AJ36" s="211" t="s">
        <v>316</v>
      </c>
      <c r="AK36" s="211">
        <v>0.177</v>
      </c>
      <c r="AL36" s="211" t="s">
        <v>316</v>
      </c>
      <c r="AM36" s="211">
        <v>0.122</v>
      </c>
      <c r="AN36" s="211">
        <v>0.177</v>
      </c>
      <c r="AO36" s="211">
        <v>0.177</v>
      </c>
      <c r="AP36" s="211" t="s">
        <v>316</v>
      </c>
      <c r="AQ36" s="211" t="s">
        <v>316</v>
      </c>
      <c r="AR36" s="211" t="s">
        <v>316</v>
      </c>
      <c r="AS36" s="211" t="s">
        <v>316</v>
      </c>
      <c r="AT36" s="211" t="s">
        <v>316</v>
      </c>
      <c r="AU36" s="213" t="s">
        <v>316</v>
      </c>
    </row>
    <row r="37" spans="2:47" ht="11.25" customHeight="1">
      <c r="B37" s="237" t="str">
        <f>VLOOKUP(B30,Z22:AK26,12,FALSE)</f>
        <v>Use A35 clips for top plt./blocking connection @ 60" o/c spacing.</v>
      </c>
      <c r="C37" s="238"/>
      <c r="D37" s="238"/>
      <c r="E37" s="239"/>
      <c r="F37" s="20"/>
      <c r="G37" s="73" t="s">
        <v>126</v>
      </c>
      <c r="H37" s="204">
        <f>VLOOKUP(I5,AG30:AU40,MATCH(L5,AG29:AU29,0),FALSE)</f>
        <v>0.114</v>
      </c>
      <c r="I37" s="10" t="s">
        <v>314</v>
      </c>
      <c r="J37" s="10"/>
      <c r="K37" s="74">
        <v>5</v>
      </c>
      <c r="L37" s="187">
        <v>0</v>
      </c>
      <c r="M37" s="75" t="str">
        <f>_xlfn.IFERROR(T37,"--")</f>
        <v>--</v>
      </c>
      <c r="N37" s="76" t="s">
        <v>82</v>
      </c>
      <c r="O37" s="10"/>
      <c r="P37" s="72" t="e">
        <f>(8*$H$33*$G$5^3)/($H$34*$H$35*L37)</f>
        <v>#DIV/0!</v>
      </c>
      <c r="Q37" s="72">
        <f>IF($H$40="YES",$H$33*$G$5/(2*$H$36),$H$33*$G$5/$H$36)</f>
        <v>0.023392714570858283</v>
      </c>
      <c r="R37" s="72">
        <f>0.75*$G$5*$H$38</f>
        <v>0.04061070005564212</v>
      </c>
      <c r="S37" s="72" t="e">
        <f>$G$5*$H$37/L37</f>
        <v>#DIV/0!</v>
      </c>
      <c r="T37" s="203" t="e">
        <f>SUM(P37:S37)</f>
        <v>#DIV/0!</v>
      </c>
      <c r="U37" s="10">
        <f>IF(L37=0,100000,L37)</f>
        <v>100000</v>
      </c>
      <c r="V37" s="72">
        <f>$G$5/U37</f>
        <v>9.25E-05</v>
      </c>
      <c r="W37" s="109">
        <f>IF(V37&gt;2,(2*U37)/$G$5,1)</f>
        <v>1</v>
      </c>
      <c r="X37" s="134">
        <f>$W$15*W37</f>
        <v>480</v>
      </c>
      <c r="Y37" s="134">
        <f>X37*L37</f>
        <v>0</v>
      </c>
      <c r="Z37" s="10">
        <f>IF(L37=0,0,1)</f>
        <v>0</v>
      </c>
      <c r="AD37" s="120" t="s">
        <v>167</v>
      </c>
      <c r="AE37" s="171">
        <f>1*1.5*3.5</f>
        <v>5.25</v>
      </c>
      <c r="AG37" s="194" t="s">
        <v>308</v>
      </c>
      <c r="AH37" s="209" t="s">
        <v>316</v>
      </c>
      <c r="AI37" s="211">
        <v>0.146</v>
      </c>
      <c r="AJ37" s="211">
        <v>0.146</v>
      </c>
      <c r="AK37" s="211">
        <v>0.146</v>
      </c>
      <c r="AL37" s="211">
        <v>0.146</v>
      </c>
      <c r="AM37" s="211">
        <v>0.146</v>
      </c>
      <c r="AN37" s="211">
        <v>0.146</v>
      </c>
      <c r="AO37" s="211">
        <v>0.146</v>
      </c>
      <c r="AP37" s="211" t="s">
        <v>316</v>
      </c>
      <c r="AQ37" s="211">
        <v>0.146</v>
      </c>
      <c r="AR37" s="211">
        <v>0.146</v>
      </c>
      <c r="AS37" s="211" t="s">
        <v>316</v>
      </c>
      <c r="AT37" s="211">
        <v>0.146</v>
      </c>
      <c r="AU37" s="213">
        <v>0.146</v>
      </c>
    </row>
    <row r="38" spans="2:47" ht="11.25" customHeight="1">
      <c r="B38" s="240"/>
      <c r="C38" s="241"/>
      <c r="D38" s="241"/>
      <c r="E38" s="242"/>
      <c r="G38" s="77" t="s">
        <v>127</v>
      </c>
      <c r="H38" s="78">
        <f>Q44</f>
        <v>0.005853794602615081</v>
      </c>
      <c r="I38" s="10" t="s">
        <v>102</v>
      </c>
      <c r="J38" s="10"/>
      <c r="K38" s="10"/>
      <c r="L38" s="10" t="s">
        <v>95</v>
      </c>
      <c r="M38" s="79">
        <f>MAX(M33:M37)</f>
        <v>0.43238508313449703</v>
      </c>
      <c r="N38" s="10" t="s">
        <v>82</v>
      </c>
      <c r="O38" s="10"/>
      <c r="P38" s="10"/>
      <c r="Q38" s="10"/>
      <c r="R38" s="10"/>
      <c r="S38" s="10"/>
      <c r="T38" s="10"/>
      <c r="U38" s="10"/>
      <c r="X38" s="87" t="s">
        <v>206</v>
      </c>
      <c r="Y38" s="135">
        <f>SUM(Y33:Y37)</f>
        <v>1868.1081081081081</v>
      </c>
      <c r="Z38" s="87">
        <f>SUM(Z33:Z37)</f>
        <v>2</v>
      </c>
      <c r="AD38" s="120" t="s">
        <v>168</v>
      </c>
      <c r="AE38" s="171">
        <f>2*1.5*3.5</f>
        <v>10.5</v>
      </c>
      <c r="AG38" s="194" t="s">
        <v>309</v>
      </c>
      <c r="AH38" s="209" t="s">
        <v>316</v>
      </c>
      <c r="AI38" s="211">
        <v>0.146</v>
      </c>
      <c r="AJ38" s="211">
        <v>0.146</v>
      </c>
      <c r="AK38" s="211">
        <v>0.146</v>
      </c>
      <c r="AL38" s="211">
        <v>0.146</v>
      </c>
      <c r="AM38" s="211">
        <v>0.146</v>
      </c>
      <c r="AN38" s="211">
        <v>0.146</v>
      </c>
      <c r="AO38" s="211">
        <v>0.146</v>
      </c>
      <c r="AP38" s="211" t="s">
        <v>316</v>
      </c>
      <c r="AQ38" s="211">
        <v>0.146</v>
      </c>
      <c r="AR38" s="211">
        <v>0.146</v>
      </c>
      <c r="AS38" s="211" t="s">
        <v>316</v>
      </c>
      <c r="AT38" s="211">
        <v>0.146</v>
      </c>
      <c r="AU38" s="213">
        <v>0.146</v>
      </c>
    </row>
    <row r="39" spans="7:47" ht="11.25" customHeight="1">
      <c r="G39" s="10" t="s">
        <v>83</v>
      </c>
      <c r="H39" s="73">
        <f>M8</f>
        <v>6</v>
      </c>
      <c r="I39" s="10" t="s">
        <v>82</v>
      </c>
      <c r="J39" s="10"/>
      <c r="K39" s="108">
        <f>IF(R48&gt;0.05,"Panel lengths exceed SWL length.",IF(R48&lt;-0.05,"Panel lengths are less than SWL length.",""))</f>
      </c>
      <c r="L39" s="10"/>
      <c r="M39" s="10"/>
      <c r="N39" s="10"/>
      <c r="O39" s="10"/>
      <c r="P39" s="21" t="s">
        <v>91</v>
      </c>
      <c r="Q39" s="10"/>
      <c r="R39" s="10"/>
      <c r="S39" s="10"/>
      <c r="T39" s="10"/>
      <c r="U39" s="10"/>
      <c r="X39" s="10" t="s">
        <v>207</v>
      </c>
      <c r="Y39" s="134">
        <f>IF(B6="PERF",Y15,Y38/(SUM(L33:L37)))</f>
        <v>311.35135135135135</v>
      </c>
      <c r="AD39" s="120" t="s">
        <v>169</v>
      </c>
      <c r="AE39" s="171">
        <f>3*1.5*3.5</f>
        <v>15.75</v>
      </c>
      <c r="AG39" s="194" t="s">
        <v>310</v>
      </c>
      <c r="AH39" s="209" t="s">
        <v>316</v>
      </c>
      <c r="AI39" s="211">
        <v>0.164</v>
      </c>
      <c r="AJ39" s="211">
        <v>0.164</v>
      </c>
      <c r="AK39" s="211">
        <v>0.164</v>
      </c>
      <c r="AL39" s="211">
        <v>0.164</v>
      </c>
      <c r="AM39" s="211">
        <v>0.164</v>
      </c>
      <c r="AN39" s="211">
        <v>0.164</v>
      </c>
      <c r="AO39" s="211">
        <v>0.164</v>
      </c>
      <c r="AP39" s="211" t="s">
        <v>316</v>
      </c>
      <c r="AQ39" s="211">
        <v>0.164</v>
      </c>
      <c r="AR39" s="211">
        <v>0.164</v>
      </c>
      <c r="AS39" s="211" t="s">
        <v>316</v>
      </c>
      <c r="AT39" s="211">
        <v>0.164</v>
      </c>
      <c r="AU39" s="213">
        <v>0.164</v>
      </c>
    </row>
    <row r="40" spans="2:47" ht="11.25" customHeight="1">
      <c r="B40" s="58" t="s">
        <v>9</v>
      </c>
      <c r="G40" s="6" t="s">
        <v>177</v>
      </c>
      <c r="H40" s="105" t="str">
        <f>M9</f>
        <v>NO</v>
      </c>
      <c r="I40" s="10"/>
      <c r="J40" s="10"/>
      <c r="K40" s="80" t="s">
        <v>128</v>
      </c>
      <c r="L40" s="10">
        <v>4</v>
      </c>
      <c r="M40" s="10"/>
      <c r="N40" s="10"/>
      <c r="O40" s="10"/>
      <c r="P40" s="10" t="s">
        <v>129</v>
      </c>
      <c r="Q40" s="177">
        <v>616</v>
      </c>
      <c r="R40" s="1" t="s">
        <v>96</v>
      </c>
      <c r="S40" s="10"/>
      <c r="T40" s="10"/>
      <c r="U40" s="10"/>
      <c r="AD40" s="120" t="s">
        <v>174</v>
      </c>
      <c r="AE40" s="172">
        <f>1*1.5*7.25</f>
        <v>10.875</v>
      </c>
      <c r="AG40" s="197" t="s">
        <v>311</v>
      </c>
      <c r="AH40" s="214" t="s">
        <v>316</v>
      </c>
      <c r="AI40" s="215">
        <v>0.164</v>
      </c>
      <c r="AJ40" s="215">
        <v>0.164</v>
      </c>
      <c r="AK40" s="215">
        <v>0.164</v>
      </c>
      <c r="AL40" s="215">
        <v>0.164</v>
      </c>
      <c r="AM40" s="215">
        <v>0.164</v>
      </c>
      <c r="AN40" s="215">
        <v>0.164</v>
      </c>
      <c r="AO40" s="215">
        <v>0.164</v>
      </c>
      <c r="AP40" s="215" t="s">
        <v>316</v>
      </c>
      <c r="AQ40" s="215">
        <v>0.164</v>
      </c>
      <c r="AR40" s="215">
        <v>0.164</v>
      </c>
      <c r="AS40" s="215" t="s">
        <v>316</v>
      </c>
      <c r="AT40" s="215">
        <v>0.164</v>
      </c>
      <c r="AU40" s="216">
        <v>0.164</v>
      </c>
    </row>
    <row r="41" spans="2:31" ht="11.25" customHeight="1">
      <c r="B41" s="44" t="s">
        <v>90</v>
      </c>
      <c r="G41" s="10"/>
      <c r="H41" s="10"/>
      <c r="I41" s="10"/>
      <c r="J41" s="11" t="s">
        <v>99</v>
      </c>
      <c r="K41" s="80" t="s">
        <v>130</v>
      </c>
      <c r="L41" s="81">
        <f>M38*L40</f>
        <v>1.7295403325379881</v>
      </c>
      <c r="M41" s="10" t="s">
        <v>82</v>
      </c>
      <c r="N41" s="10"/>
      <c r="O41" s="10"/>
      <c r="P41" s="10" t="s">
        <v>131</v>
      </c>
      <c r="Q41" s="177">
        <v>3.018</v>
      </c>
      <c r="R41" s="1" t="s">
        <v>96</v>
      </c>
      <c r="S41" s="10"/>
      <c r="T41" s="10"/>
      <c r="U41" s="10"/>
      <c r="AD41" s="120" t="s">
        <v>175</v>
      </c>
      <c r="AE41" s="172">
        <f>2*1.5*7.25</f>
        <v>21.75</v>
      </c>
    </row>
    <row r="42" spans="2:31" ht="11.25" customHeight="1">
      <c r="B42" s="44" t="s">
        <v>118</v>
      </c>
      <c r="G42" s="10"/>
      <c r="H42" s="10"/>
      <c r="I42" s="10"/>
      <c r="J42" s="22" t="s">
        <v>98</v>
      </c>
      <c r="K42" s="80" t="s">
        <v>132</v>
      </c>
      <c r="L42" s="10">
        <f>0.02*12*G5</f>
        <v>2.2199999999999998</v>
      </c>
      <c r="M42" s="10" t="s">
        <v>82</v>
      </c>
      <c r="N42" s="49" t="str">
        <f>IF(L42&gt;L41,"OK","NG")</f>
        <v>OK</v>
      </c>
      <c r="O42" s="10"/>
      <c r="P42" s="10" t="s">
        <v>92</v>
      </c>
      <c r="Q42" s="177">
        <v>1.2</v>
      </c>
      <c r="R42" s="1" t="s">
        <v>97</v>
      </c>
      <c r="S42" s="10"/>
      <c r="T42" s="10"/>
      <c r="U42" s="10"/>
      <c r="AD42" s="96" t="s">
        <v>176</v>
      </c>
      <c r="AE42" s="173">
        <f>3*1.5*7.25</f>
        <v>32.625</v>
      </c>
    </row>
    <row r="43" spans="2:21" ht="11.25" customHeight="1">
      <c r="B43" s="44" t="s">
        <v>10</v>
      </c>
      <c r="G43" s="10"/>
      <c r="H43" s="10"/>
      <c r="I43" s="10"/>
      <c r="J43" s="10"/>
      <c r="K43" s="10"/>
      <c r="L43" s="10"/>
      <c r="M43" s="10"/>
      <c r="N43" s="10"/>
      <c r="O43" s="10"/>
      <c r="P43" s="10" t="s">
        <v>103</v>
      </c>
      <c r="Q43" s="46">
        <f>IF(H40="YES",H33*H39/(12*2),H33*H39/12)</f>
        <v>105.58333333333333</v>
      </c>
      <c r="R43" s="10" t="s">
        <v>93</v>
      </c>
      <c r="S43" s="1" t="s">
        <v>94</v>
      </c>
      <c r="T43" s="10"/>
      <c r="U43" s="10"/>
    </row>
    <row r="44" spans="2:21" ht="11.25" customHeight="1">
      <c r="B44" s="44" t="s">
        <v>334</v>
      </c>
      <c r="G44" s="10"/>
      <c r="H44" s="10"/>
      <c r="I44" s="10"/>
      <c r="J44" s="10"/>
      <c r="K44" s="10"/>
      <c r="L44" s="10"/>
      <c r="M44" s="10"/>
      <c r="N44" s="10"/>
      <c r="O44" s="10"/>
      <c r="P44" s="10" t="s">
        <v>104</v>
      </c>
      <c r="Q44" s="72">
        <f>Q42*(Q43/Q40)^Q41</f>
        <v>0.005853794602615081</v>
      </c>
      <c r="R44" s="10"/>
      <c r="S44" s="10"/>
      <c r="T44" s="10"/>
      <c r="U44" s="10"/>
    </row>
    <row r="45" ht="11.25" customHeight="1">
      <c r="B45" s="44" t="s">
        <v>89</v>
      </c>
    </row>
    <row r="46" ht="11.25" customHeight="1">
      <c r="P46" s="21" t="s">
        <v>183</v>
      </c>
    </row>
    <row r="47" spans="9:18" ht="12.75">
      <c r="I47" s="6" t="s">
        <v>339</v>
      </c>
      <c r="J47" s="6"/>
      <c r="K47" s="6"/>
      <c r="L47" s="6"/>
      <c r="M47" s="6"/>
      <c r="N47" s="5" t="s">
        <v>338</v>
      </c>
      <c r="P47" s="10" t="s">
        <v>184</v>
      </c>
      <c r="Q47" s="10" t="s">
        <v>182</v>
      </c>
      <c r="R47" s="10"/>
    </row>
    <row r="48" spans="16:20" ht="12.75">
      <c r="P48" s="109">
        <f>SUM(L33:L37)</f>
        <v>6</v>
      </c>
      <c r="Q48" s="109">
        <f>E5</f>
        <v>6</v>
      </c>
      <c r="R48" s="109">
        <f>P48-Q48</f>
        <v>0</v>
      </c>
      <c r="T48" s="21" t="s">
        <v>231</v>
      </c>
    </row>
    <row r="49" spans="16:20" ht="12.75">
      <c r="P49" s="10"/>
      <c r="Q49" s="10"/>
      <c r="R49" s="10"/>
      <c r="T49" s="84">
        <v>12</v>
      </c>
    </row>
    <row r="50" spans="2:20" ht="12.75">
      <c r="B50" s="51" t="s">
        <v>210</v>
      </c>
      <c r="F50" s="51" t="s">
        <v>229</v>
      </c>
      <c r="H50" s="163" t="s">
        <v>287</v>
      </c>
      <c r="J50" s="10"/>
      <c r="K50" s="10"/>
      <c r="L50" s="10"/>
      <c r="M50" s="42" t="s">
        <v>0</v>
      </c>
      <c r="N50" s="42" t="str">
        <f>N2</f>
        <v>2016-017</v>
      </c>
      <c r="P50" s="136" t="s">
        <v>213</v>
      </c>
      <c r="Q50" s="137" t="s">
        <v>214</v>
      </c>
      <c r="R50" s="138" t="s">
        <v>211</v>
      </c>
      <c r="T50" s="85">
        <v>16</v>
      </c>
    </row>
    <row r="51" spans="2:20" ht="12.75">
      <c r="B51" s="17" t="s">
        <v>212</v>
      </c>
      <c r="C51" s="17"/>
      <c r="D51" s="189" t="s">
        <v>211</v>
      </c>
      <c r="F51" s="11" t="s">
        <v>224</v>
      </c>
      <c r="G51" s="133" t="s">
        <v>222</v>
      </c>
      <c r="H51" s="133" t="s">
        <v>227</v>
      </c>
      <c r="I51" s="133" t="s">
        <v>228</v>
      </c>
      <c r="J51" s="10"/>
      <c r="K51" s="10"/>
      <c r="L51" s="10"/>
      <c r="M51" s="10"/>
      <c r="N51" s="10"/>
      <c r="P51" s="139" t="s">
        <v>215</v>
      </c>
      <c r="Q51" s="140">
        <v>625</v>
      </c>
      <c r="R51" s="141">
        <v>405</v>
      </c>
      <c r="T51" s="86">
        <v>24</v>
      </c>
    </row>
    <row r="52" spans="2:14" ht="12.75">
      <c r="B52" s="142" t="s">
        <v>215</v>
      </c>
      <c r="D52" s="143">
        <f>HLOOKUP(D51,P50:R51,2,FALSE)</f>
        <v>405</v>
      </c>
      <c r="E52" s="144" t="s">
        <v>81</v>
      </c>
      <c r="F52" s="11" t="s">
        <v>223</v>
      </c>
      <c r="G52" s="191">
        <v>95</v>
      </c>
      <c r="H52" s="191">
        <v>0</v>
      </c>
      <c r="I52" s="191">
        <v>58</v>
      </c>
      <c r="J52" s="10"/>
      <c r="K52" s="10"/>
      <c r="L52" s="80" t="s">
        <v>238</v>
      </c>
      <c r="M52" s="47">
        <f>IF(B6="PERF",J2*G5/(F6*H6),J2*G5/E5)</f>
        <v>2634.7083333333335</v>
      </c>
      <c r="N52" s="10" t="s">
        <v>24</v>
      </c>
    </row>
    <row r="53" spans="2:16" ht="12.75">
      <c r="B53" s="17" t="s">
        <v>258</v>
      </c>
      <c r="C53" s="142"/>
      <c r="D53" s="189">
        <v>1</v>
      </c>
      <c r="F53" s="11"/>
      <c r="G53" s="10"/>
      <c r="H53" s="10"/>
      <c r="I53" s="10"/>
      <c r="J53" s="10"/>
      <c r="K53" s="10"/>
      <c r="L53" s="80" t="s">
        <v>239</v>
      </c>
      <c r="M53" s="47">
        <f>IF(B6="PERF",G2*G5/(F6*H6),G2*G5/E5)</f>
        <v>1395.2083333333333</v>
      </c>
      <c r="N53" s="10" t="s">
        <v>24</v>
      </c>
      <c r="P53" s="21" t="s">
        <v>243</v>
      </c>
    </row>
    <row r="54" spans="2:25" ht="12.75">
      <c r="B54" s="17" t="s">
        <v>259</v>
      </c>
      <c r="C54" s="142"/>
      <c r="D54" s="189">
        <v>1</v>
      </c>
      <c r="F54" s="11" t="s">
        <v>225</v>
      </c>
      <c r="G54" s="133" t="s">
        <v>317</v>
      </c>
      <c r="H54" s="133" t="s">
        <v>318</v>
      </c>
      <c r="I54" s="133" t="s">
        <v>319</v>
      </c>
      <c r="J54" s="133" t="s">
        <v>325</v>
      </c>
      <c r="K54" s="133" t="s">
        <v>326</v>
      </c>
      <c r="P54" s="11" t="s">
        <v>244</v>
      </c>
      <c r="Q54" s="11" t="s">
        <v>248</v>
      </c>
      <c r="R54" s="11" t="s">
        <v>249</v>
      </c>
      <c r="S54" s="11" t="s">
        <v>253</v>
      </c>
      <c r="T54" s="11" t="s">
        <v>254</v>
      </c>
      <c r="U54" s="11" t="s">
        <v>250</v>
      </c>
      <c r="V54" s="11" t="s">
        <v>251</v>
      </c>
      <c r="W54" s="11" t="s">
        <v>282</v>
      </c>
      <c r="X54" s="22" t="s">
        <v>293</v>
      </c>
      <c r="Y54" s="11" t="s">
        <v>216</v>
      </c>
    </row>
    <row r="55" spans="2:25" ht="12.75">
      <c r="B55" s="142" t="s">
        <v>216</v>
      </c>
      <c r="C55" s="17"/>
      <c r="D55" s="190">
        <v>1</v>
      </c>
      <c r="E55" s="169" t="str">
        <f>CONCATENATE(" (",TEXT(VLOOKUP(M61,P55:Y68,10,FALSE),"0.000"),")")</f>
        <v> (1.125)</v>
      </c>
      <c r="F55" s="11" t="s">
        <v>226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0"/>
      <c r="M55" s="10"/>
      <c r="N55" s="10"/>
      <c r="P55" s="93" t="s">
        <v>160</v>
      </c>
      <c r="Q55" s="94">
        <v>575</v>
      </c>
      <c r="R55" s="94">
        <v>1350</v>
      </c>
      <c r="S55" s="94">
        <v>1.3</v>
      </c>
      <c r="T55" s="94">
        <v>1.1</v>
      </c>
      <c r="U55" s="159">
        <v>580000</v>
      </c>
      <c r="V55" s="159">
        <v>1600000</v>
      </c>
      <c r="W55" s="94">
        <v>5.5</v>
      </c>
      <c r="X55" s="94">
        <v>1.5</v>
      </c>
      <c r="Y55" s="166">
        <f>IF(X55&lt;6,(X55+0.375)/X55,1)</f>
        <v>1.25</v>
      </c>
    </row>
    <row r="56" spans="2:25" ht="12.75">
      <c r="B56" s="142" t="s">
        <v>217</v>
      </c>
      <c r="C56" s="17"/>
      <c r="D56" s="145">
        <f>D52*D54*D53*D55</f>
        <v>405</v>
      </c>
      <c r="E56" s="146" t="s">
        <v>81</v>
      </c>
      <c r="F56" s="10"/>
      <c r="G56" s="10"/>
      <c r="H56" s="10"/>
      <c r="I56" s="10"/>
      <c r="J56" s="10"/>
      <c r="K56" s="10"/>
      <c r="P56" s="120" t="s">
        <v>17</v>
      </c>
      <c r="Q56" s="114">
        <v>575</v>
      </c>
      <c r="R56" s="114">
        <v>1350</v>
      </c>
      <c r="S56" s="114">
        <v>1.3</v>
      </c>
      <c r="T56" s="114">
        <v>1.1</v>
      </c>
      <c r="U56" s="160">
        <v>580000</v>
      </c>
      <c r="V56" s="160">
        <v>1600000</v>
      </c>
      <c r="W56" s="114">
        <v>5.5</v>
      </c>
      <c r="X56" s="114">
        <v>3</v>
      </c>
      <c r="Y56" s="167">
        <f aca="true" t="shared" si="0" ref="Y56:Y68">IF(X56&lt;6,(X56+0.375)/X56,1)</f>
        <v>1.125</v>
      </c>
    </row>
    <row r="57" spans="2:25" ht="12.75">
      <c r="B57" s="17" t="s">
        <v>221</v>
      </c>
      <c r="C57" s="17"/>
      <c r="D57" s="148">
        <f>VLOOKUP(M61,AD29:AE42,2,FALSE)</f>
        <v>16.5</v>
      </c>
      <c r="E57" s="144" t="s">
        <v>220</v>
      </c>
      <c r="F57" s="50" t="s">
        <v>232</v>
      </c>
      <c r="G57" s="50"/>
      <c r="H57" s="50"/>
      <c r="I57" s="50"/>
      <c r="J57" s="50"/>
      <c r="K57" s="10"/>
      <c r="L57" s="80" t="s">
        <v>327</v>
      </c>
      <c r="M57" s="150">
        <f>MAX(M52+J55,M53+K55)</f>
        <v>2634.7083333333335</v>
      </c>
      <c r="N57" s="10" t="s">
        <v>24</v>
      </c>
      <c r="P57" s="120" t="s">
        <v>161</v>
      </c>
      <c r="Q57" s="114">
        <v>575</v>
      </c>
      <c r="R57" s="114">
        <v>1350</v>
      </c>
      <c r="S57" s="114">
        <v>1.3</v>
      </c>
      <c r="T57" s="114">
        <v>1.1</v>
      </c>
      <c r="U57" s="160">
        <v>580000</v>
      </c>
      <c r="V57" s="160">
        <v>1600000</v>
      </c>
      <c r="W57" s="114">
        <v>5.5</v>
      </c>
      <c r="X57" s="114">
        <v>4.5</v>
      </c>
      <c r="Y57" s="167">
        <f t="shared" si="0"/>
        <v>1.0833333333333333</v>
      </c>
    </row>
    <row r="58" spans="2:25" ht="12.75">
      <c r="B58" s="147" t="s">
        <v>219</v>
      </c>
      <c r="C58" s="147"/>
      <c r="D58" s="151">
        <f>M58</f>
        <v>2761.375</v>
      </c>
      <c r="E58" s="17" t="s">
        <v>24</v>
      </c>
      <c r="F58" s="50" t="s">
        <v>235</v>
      </c>
      <c r="G58" s="50"/>
      <c r="I58" s="149">
        <f>G52*(M60/12)+G55+M52+J55</f>
        <v>2761.375</v>
      </c>
      <c r="J58" s="50" t="str">
        <f>IF(I58=MAX($I$58:$I$63),"plf (governs)","plf")</f>
        <v>plf (governs)</v>
      </c>
      <c r="K58" s="50"/>
      <c r="L58" s="80" t="s">
        <v>240</v>
      </c>
      <c r="M58" s="150">
        <f>MAX(I58:I63)</f>
        <v>2761.375</v>
      </c>
      <c r="N58" s="10" t="s">
        <v>24</v>
      </c>
      <c r="P58" s="120" t="s">
        <v>162</v>
      </c>
      <c r="Q58" s="114">
        <v>575</v>
      </c>
      <c r="R58" s="114">
        <v>1350</v>
      </c>
      <c r="S58" s="114">
        <v>1.3</v>
      </c>
      <c r="T58" s="114">
        <v>1.1</v>
      </c>
      <c r="U58" s="160">
        <v>580000</v>
      </c>
      <c r="V58" s="160">
        <v>1600000</v>
      </c>
      <c r="W58" s="114">
        <v>5.5</v>
      </c>
      <c r="X58" s="114">
        <v>6</v>
      </c>
      <c r="Y58" s="167">
        <f t="shared" si="0"/>
        <v>1</v>
      </c>
    </row>
    <row r="59" spans="2:25" ht="12.75">
      <c r="B59" s="142" t="s">
        <v>218</v>
      </c>
      <c r="C59" s="142"/>
      <c r="D59" s="152">
        <f>D58/D57</f>
        <v>167.3560606060606</v>
      </c>
      <c r="E59" s="10" t="s">
        <v>81</v>
      </c>
      <c r="F59" s="50" t="s">
        <v>236</v>
      </c>
      <c r="G59" s="50"/>
      <c r="I59" s="149">
        <f>G52*(M60/12)+G55+0.75*H52*(M60/12)+0.75*H55+0.75*I52*(M60/12)+0.75*I55+0.75*M52+0.75*J55</f>
        <v>2160.6979166666665</v>
      </c>
      <c r="J59" s="50" t="str">
        <f>IF(I59=MAX($I$58:$I$63),"plf (governs)","plf")</f>
        <v>plf</v>
      </c>
      <c r="K59" s="50"/>
      <c r="P59" s="120" t="s">
        <v>165</v>
      </c>
      <c r="Q59" s="114">
        <v>575</v>
      </c>
      <c r="R59" s="114">
        <v>1350</v>
      </c>
      <c r="S59" s="114">
        <v>1.5</v>
      </c>
      <c r="T59" s="114">
        <v>1.15</v>
      </c>
      <c r="U59" s="160">
        <v>580000</v>
      </c>
      <c r="V59" s="160">
        <v>1600000</v>
      </c>
      <c r="W59" s="114">
        <v>3.5</v>
      </c>
      <c r="X59" s="114">
        <v>3.5</v>
      </c>
      <c r="Y59" s="167">
        <f t="shared" si="0"/>
        <v>1.1071428571428572</v>
      </c>
    </row>
    <row r="60" spans="1:25" ht="12.75">
      <c r="A60" s="10"/>
      <c r="B60" s="153" t="s">
        <v>241</v>
      </c>
      <c r="C60" s="154"/>
      <c r="D60" s="155">
        <f>D59/D56</f>
        <v>0.41322484100261875</v>
      </c>
      <c r="E60" s="164" t="str">
        <f>IF(D60&lt;=1,"OK","NG")</f>
        <v>OK</v>
      </c>
      <c r="F60" s="50"/>
      <c r="G60" s="50"/>
      <c r="I60" s="149"/>
      <c r="J60" s="50"/>
      <c r="K60" s="50"/>
      <c r="L60" s="80" t="s">
        <v>230</v>
      </c>
      <c r="M60" s="177">
        <v>16</v>
      </c>
      <c r="N60" s="10" t="s">
        <v>82</v>
      </c>
      <c r="P60" s="120" t="s">
        <v>163</v>
      </c>
      <c r="Q60" s="114">
        <v>575</v>
      </c>
      <c r="R60" s="114">
        <v>1350</v>
      </c>
      <c r="S60" s="114">
        <v>1.3</v>
      </c>
      <c r="T60" s="114">
        <v>1.1</v>
      </c>
      <c r="U60" s="160">
        <v>580000</v>
      </c>
      <c r="V60" s="160">
        <v>1600000</v>
      </c>
      <c r="W60" s="114">
        <v>5.5</v>
      </c>
      <c r="X60" s="114">
        <v>3.5</v>
      </c>
      <c r="Y60" s="167">
        <f t="shared" si="0"/>
        <v>1.1071428571428572</v>
      </c>
    </row>
    <row r="61" spans="1:25" ht="12.75">
      <c r="A61" s="10"/>
      <c r="B61" s="10"/>
      <c r="C61" s="10"/>
      <c r="D61" s="10"/>
      <c r="E61" s="10"/>
      <c r="F61" s="50" t="s">
        <v>233</v>
      </c>
      <c r="G61" s="50"/>
      <c r="I61" s="50"/>
      <c r="J61" s="50"/>
      <c r="K61" s="50"/>
      <c r="L61" s="80" t="s">
        <v>278</v>
      </c>
      <c r="M61" s="80" t="str">
        <f>L5</f>
        <v>(2) 2x6</v>
      </c>
      <c r="N61" s="10"/>
      <c r="P61" s="120" t="s">
        <v>164</v>
      </c>
      <c r="Q61" s="114">
        <v>475</v>
      </c>
      <c r="R61" s="114">
        <v>700</v>
      </c>
      <c r="S61" s="114">
        <v>1</v>
      </c>
      <c r="T61" s="114">
        <v>1</v>
      </c>
      <c r="U61" s="160">
        <v>470000</v>
      </c>
      <c r="V61" s="160">
        <v>1300000</v>
      </c>
      <c r="W61" s="114">
        <v>5.5</v>
      </c>
      <c r="X61" s="114">
        <v>5.5</v>
      </c>
      <c r="Y61" s="167">
        <f t="shared" si="0"/>
        <v>1.0681818181818181</v>
      </c>
    </row>
    <row r="62" spans="1:25" ht="12.75">
      <c r="A62" s="10"/>
      <c r="B62" s="51" t="s">
        <v>242</v>
      </c>
      <c r="C62" s="10"/>
      <c r="D62" s="11" t="s">
        <v>245</v>
      </c>
      <c r="E62" s="10"/>
      <c r="F62" s="50" t="s">
        <v>234</v>
      </c>
      <c r="G62" s="50"/>
      <c r="I62" s="149">
        <f>G52*(M60/12)+G55+M53+K55</f>
        <v>1521.875</v>
      </c>
      <c r="J62" s="50" t="str">
        <f>IF(I62=MAX($I$58:$I$63),"plf (governs)","plf")</f>
        <v>plf</v>
      </c>
      <c r="K62" s="50"/>
      <c r="L62" s="80" t="s">
        <v>283</v>
      </c>
      <c r="M62" s="10">
        <f>VLOOKUP(M61,P55:W68,8,FALSE)</f>
        <v>5.5</v>
      </c>
      <c r="N62" s="10" t="s">
        <v>82</v>
      </c>
      <c r="P62" s="120" t="s">
        <v>166</v>
      </c>
      <c r="Q62" s="114">
        <v>475</v>
      </c>
      <c r="R62" s="114">
        <v>700</v>
      </c>
      <c r="S62" s="114">
        <v>1</v>
      </c>
      <c r="T62" s="114">
        <v>1</v>
      </c>
      <c r="U62" s="160">
        <v>470000</v>
      </c>
      <c r="V62" s="160">
        <v>1300000</v>
      </c>
      <c r="W62" s="114">
        <v>5.5</v>
      </c>
      <c r="X62" s="114">
        <v>7.25</v>
      </c>
      <c r="Y62" s="167">
        <f t="shared" si="0"/>
        <v>1</v>
      </c>
    </row>
    <row r="63" spans="1:25" ht="12.75">
      <c r="A63" s="10"/>
      <c r="B63" s="17" t="s">
        <v>248</v>
      </c>
      <c r="C63" s="17"/>
      <c r="D63" s="143">
        <f>VLOOKUP(M61,P55:V68,2,FALSE)</f>
        <v>575</v>
      </c>
      <c r="E63" s="144" t="s">
        <v>81</v>
      </c>
      <c r="F63" s="50" t="s">
        <v>237</v>
      </c>
      <c r="G63" s="50"/>
      <c r="I63" s="149">
        <f>G52*(M60/12)+G55+0.75*H52*(M60/12)+0.75*H55+0.75*I52*(M60/12)+0.75*I55+0.75*M53+0.75*K55</f>
        <v>1231.0729166666667</v>
      </c>
      <c r="J63" s="50" t="str">
        <f>IF(I63=MAX($I$58:$I$63),"plf (governs)","plf")</f>
        <v>plf</v>
      </c>
      <c r="K63" s="50"/>
      <c r="L63" s="80" t="s">
        <v>292</v>
      </c>
      <c r="M63" s="81">
        <f>VLOOKUP(M61,P55:Y68,9,FALSE)</f>
        <v>3</v>
      </c>
      <c r="N63" s="10" t="s">
        <v>82</v>
      </c>
      <c r="P63" s="120" t="s">
        <v>167</v>
      </c>
      <c r="Q63" s="114">
        <v>575</v>
      </c>
      <c r="R63" s="114">
        <v>1350</v>
      </c>
      <c r="S63" s="114">
        <v>1.5</v>
      </c>
      <c r="T63" s="114">
        <v>1.15</v>
      </c>
      <c r="U63" s="160">
        <v>580000</v>
      </c>
      <c r="V63" s="160">
        <v>1600000</v>
      </c>
      <c r="W63" s="114">
        <v>3.5</v>
      </c>
      <c r="X63" s="114">
        <v>1.5</v>
      </c>
      <c r="Y63" s="167">
        <f t="shared" si="0"/>
        <v>1.25</v>
      </c>
    </row>
    <row r="64" spans="1:25" ht="12.75">
      <c r="A64" s="10"/>
      <c r="B64" s="17" t="s">
        <v>255</v>
      </c>
      <c r="C64" s="142"/>
      <c r="D64" s="189">
        <v>1</v>
      </c>
      <c r="E64" s="10"/>
      <c r="P64" s="120" t="s">
        <v>168</v>
      </c>
      <c r="Q64" s="114">
        <v>575</v>
      </c>
      <c r="R64" s="114">
        <v>1350</v>
      </c>
      <c r="S64" s="114">
        <v>1.5</v>
      </c>
      <c r="T64" s="114">
        <v>1.15</v>
      </c>
      <c r="U64" s="160">
        <v>580000</v>
      </c>
      <c r="V64" s="160">
        <v>1600000</v>
      </c>
      <c r="W64" s="114">
        <v>3.5</v>
      </c>
      <c r="X64" s="114">
        <v>3</v>
      </c>
      <c r="Y64" s="167">
        <f t="shared" si="0"/>
        <v>1.125</v>
      </c>
    </row>
    <row r="65" spans="1:25" ht="12.75">
      <c r="A65" s="10"/>
      <c r="B65" s="17" t="s">
        <v>256</v>
      </c>
      <c r="C65" s="142"/>
      <c r="D65" s="189">
        <v>1</v>
      </c>
      <c r="E65" s="10"/>
      <c r="F65" s="50"/>
      <c r="G65" s="50"/>
      <c r="I65" s="149"/>
      <c r="J65" s="50"/>
      <c r="K65" s="50"/>
      <c r="P65" s="120" t="s">
        <v>169</v>
      </c>
      <c r="Q65" s="114">
        <v>575</v>
      </c>
      <c r="R65" s="114">
        <v>1350</v>
      </c>
      <c r="S65" s="114">
        <v>1.5</v>
      </c>
      <c r="T65" s="114">
        <v>1.15</v>
      </c>
      <c r="U65" s="160">
        <v>580000</v>
      </c>
      <c r="V65" s="160">
        <v>1600000</v>
      </c>
      <c r="W65" s="114">
        <v>3.5</v>
      </c>
      <c r="X65" s="114">
        <v>4.5</v>
      </c>
      <c r="Y65" s="167">
        <f t="shared" si="0"/>
        <v>1.0833333333333333</v>
      </c>
    </row>
    <row r="66" spans="1:25" ht="12.75">
      <c r="A66" s="10"/>
      <c r="B66" s="17" t="s">
        <v>257</v>
      </c>
      <c r="C66" s="17"/>
      <c r="D66" s="189">
        <v>1</v>
      </c>
      <c r="E66" s="10"/>
      <c r="G66" s="51" t="s">
        <v>306</v>
      </c>
      <c r="H66" s="10"/>
      <c r="I66" s="10"/>
      <c r="J66" s="10"/>
      <c r="K66" s="10"/>
      <c r="L66" s="10"/>
      <c r="M66" s="10"/>
      <c r="N66" s="10"/>
      <c r="P66" s="120" t="s">
        <v>174</v>
      </c>
      <c r="Q66" s="114">
        <v>575</v>
      </c>
      <c r="R66" s="114">
        <v>1350</v>
      </c>
      <c r="S66" s="114">
        <v>1.2</v>
      </c>
      <c r="T66" s="114">
        <v>1.05</v>
      </c>
      <c r="U66" s="160">
        <v>580000</v>
      </c>
      <c r="V66" s="160">
        <v>1600000</v>
      </c>
      <c r="W66" s="114">
        <v>7.25</v>
      </c>
      <c r="X66" s="114">
        <v>1.5</v>
      </c>
      <c r="Y66" s="167">
        <f t="shared" si="0"/>
        <v>1.25</v>
      </c>
    </row>
    <row r="67" spans="1:25" ht="12.75">
      <c r="A67" s="10"/>
      <c r="B67" s="17" t="s">
        <v>246</v>
      </c>
      <c r="C67" s="147"/>
      <c r="D67" s="156">
        <v>1.6</v>
      </c>
      <c r="E67" s="17" t="str">
        <f>IF($M$52&gt;$M$53,"(wind)","(seismic)")</f>
        <v>(wind)</v>
      </c>
      <c r="G67" s="10" t="s">
        <v>288</v>
      </c>
      <c r="H67" s="10"/>
      <c r="I67" s="10"/>
      <c r="J67" s="10"/>
      <c r="K67" s="10"/>
      <c r="L67" s="10"/>
      <c r="M67" s="10"/>
      <c r="N67" s="10"/>
      <c r="P67" s="120" t="s">
        <v>175</v>
      </c>
      <c r="Q67" s="114">
        <v>575</v>
      </c>
      <c r="R67" s="114">
        <v>1350</v>
      </c>
      <c r="S67" s="114">
        <v>1.2</v>
      </c>
      <c r="T67" s="114">
        <v>1.05</v>
      </c>
      <c r="U67" s="160">
        <v>580000</v>
      </c>
      <c r="V67" s="160">
        <v>1600000</v>
      </c>
      <c r="W67" s="114">
        <v>7.25</v>
      </c>
      <c r="X67" s="114">
        <v>3</v>
      </c>
      <c r="Y67" s="167">
        <f t="shared" si="0"/>
        <v>1.125</v>
      </c>
    </row>
    <row r="68" spans="1:25" ht="12.75">
      <c r="A68" s="10"/>
      <c r="B68" s="17" t="s">
        <v>247</v>
      </c>
      <c r="C68" s="154"/>
      <c r="D68" s="156">
        <f>VLOOKUP(M61,P55:V68,4,FALSE)</f>
        <v>1.3</v>
      </c>
      <c r="E68" s="10"/>
      <c r="G68" s="104" t="s">
        <v>290</v>
      </c>
      <c r="H68" s="17">
        <v>141</v>
      </c>
      <c r="I68" s="17" t="s">
        <v>24</v>
      </c>
      <c r="J68" s="6" t="s">
        <v>289</v>
      </c>
      <c r="K68" s="10"/>
      <c r="L68" s="10"/>
      <c r="M68" s="10"/>
      <c r="N68" s="10"/>
      <c r="P68" s="96" t="s">
        <v>176</v>
      </c>
      <c r="Q68" s="91">
        <v>575</v>
      </c>
      <c r="R68" s="91">
        <v>1350</v>
      </c>
      <c r="S68" s="91">
        <v>1.2</v>
      </c>
      <c r="T68" s="91">
        <v>1.05</v>
      </c>
      <c r="U68" s="161">
        <v>580000</v>
      </c>
      <c r="V68" s="161">
        <v>1600000</v>
      </c>
      <c r="W68" s="91">
        <v>7.25</v>
      </c>
      <c r="X68" s="91">
        <v>4.5</v>
      </c>
      <c r="Y68" s="168">
        <f t="shared" si="0"/>
        <v>1.0833333333333333</v>
      </c>
    </row>
    <row r="69" spans="1:14" ht="12.75">
      <c r="A69" s="10"/>
      <c r="B69" s="142" t="s">
        <v>279</v>
      </c>
      <c r="C69" s="17"/>
      <c r="D69" s="152">
        <f>D64*D66*D65*D67*D63*D68</f>
        <v>1196</v>
      </c>
      <c r="E69" s="146" t="s">
        <v>81</v>
      </c>
      <c r="G69" s="104" t="s">
        <v>109</v>
      </c>
      <c r="H69" s="52">
        <v>1.6</v>
      </c>
      <c r="I69" s="17" t="s">
        <v>32</v>
      </c>
      <c r="J69" s="10"/>
      <c r="K69" s="10"/>
      <c r="L69" s="10"/>
      <c r="M69" s="10"/>
      <c r="N69" s="10"/>
    </row>
    <row r="70" spans="1:16" ht="12.75">
      <c r="A70" s="10"/>
      <c r="B70" s="17" t="s">
        <v>277</v>
      </c>
      <c r="C70" s="17"/>
      <c r="D70" s="148">
        <f>VLOOKUP(M61,AD29:AE42,2,FALSE)</f>
        <v>16.5</v>
      </c>
      <c r="E70" s="144" t="s">
        <v>220</v>
      </c>
      <c r="G70" s="104" t="s">
        <v>291</v>
      </c>
      <c r="H70" s="165">
        <f>H68*H69</f>
        <v>225.60000000000002</v>
      </c>
      <c r="I70" s="17" t="s">
        <v>24</v>
      </c>
      <c r="J70" s="10"/>
      <c r="K70" s="10"/>
      <c r="L70" s="10"/>
      <c r="M70" s="10"/>
      <c r="N70" s="10"/>
      <c r="P70" s="21"/>
    </row>
    <row r="71" spans="1:14" ht="12.75">
      <c r="A71" s="10"/>
      <c r="B71" s="142" t="s">
        <v>281</v>
      </c>
      <c r="C71" s="142"/>
      <c r="D71" s="152">
        <f>M57/D70</f>
        <v>159.67929292929293</v>
      </c>
      <c r="E71" s="10" t="s">
        <v>81</v>
      </c>
      <c r="F71" s="10"/>
      <c r="G71" s="83" t="s">
        <v>75</v>
      </c>
      <c r="H71" s="67">
        <f>F5</f>
        <v>284.8333333333333</v>
      </c>
      <c r="I71" s="10" t="s">
        <v>20</v>
      </c>
      <c r="J71" s="10"/>
      <c r="K71" s="10"/>
      <c r="L71" s="80" t="s">
        <v>284</v>
      </c>
      <c r="M71" s="47">
        <f>VLOOKUP(M61,P55:W68,6,FALSE)</f>
        <v>580000</v>
      </c>
      <c r="N71" s="10" t="s">
        <v>81</v>
      </c>
    </row>
    <row r="72" spans="1:14" ht="12.75">
      <c r="A72" s="10"/>
      <c r="B72" s="153" t="s">
        <v>275</v>
      </c>
      <c r="C72" s="154"/>
      <c r="D72" s="155">
        <f>D71/D69</f>
        <v>0.13351111448937536</v>
      </c>
      <c r="E72" s="164" t="str">
        <f>IF(D72&lt;=1,"OK","NG")</f>
        <v>OK</v>
      </c>
      <c r="F72" s="10"/>
      <c r="G72" s="83" t="s">
        <v>76</v>
      </c>
      <c r="H72" s="100">
        <f>12*H70/H71</f>
        <v>9.50450555880632</v>
      </c>
      <c r="I72" s="10" t="s">
        <v>82</v>
      </c>
      <c r="J72" s="10"/>
      <c r="K72" s="10"/>
      <c r="L72" s="104" t="s">
        <v>285</v>
      </c>
      <c r="M72" s="192">
        <v>1</v>
      </c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4" t="s">
        <v>286</v>
      </c>
      <c r="M73" s="192">
        <v>1</v>
      </c>
      <c r="N73" s="10"/>
    </row>
    <row r="74" spans="1:14" ht="12.75">
      <c r="A74" s="10"/>
      <c r="B74" s="51" t="s">
        <v>252</v>
      </c>
      <c r="C74" s="10"/>
      <c r="D74" s="11" t="s">
        <v>245</v>
      </c>
      <c r="E74" s="10"/>
      <c r="F74" s="10"/>
      <c r="G74" s="237" t="s">
        <v>302</v>
      </c>
      <c r="H74" s="238"/>
      <c r="I74" s="238"/>
      <c r="J74" s="239"/>
      <c r="K74" s="10"/>
      <c r="L74" s="104" t="s">
        <v>286</v>
      </c>
      <c r="M74" s="192">
        <v>1</v>
      </c>
      <c r="N74" s="10"/>
    </row>
    <row r="75" spans="1:17" ht="12.75">
      <c r="A75" s="10"/>
      <c r="B75" s="17" t="s">
        <v>280</v>
      </c>
      <c r="C75" s="17"/>
      <c r="D75" s="143">
        <f>VLOOKUP(M61,P55:V68,3,FALSE)</f>
        <v>1350</v>
      </c>
      <c r="E75" s="144" t="s">
        <v>81</v>
      </c>
      <c r="F75" s="10"/>
      <c r="G75" s="240"/>
      <c r="H75" s="241"/>
      <c r="I75" s="241"/>
      <c r="J75" s="242"/>
      <c r="K75" s="10"/>
      <c r="L75" s="10"/>
      <c r="M75" s="10"/>
      <c r="N75" s="10"/>
      <c r="Q75" s="21" t="s">
        <v>328</v>
      </c>
    </row>
    <row r="76" spans="1:17" ht="12.75">
      <c r="A76" s="10"/>
      <c r="B76" s="17" t="s">
        <v>260</v>
      </c>
      <c r="C76" s="142"/>
      <c r="D76" s="189">
        <v>1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Q76" s="10"/>
    </row>
    <row r="77" spans="1:17" ht="12.75">
      <c r="A77" s="10"/>
      <c r="B77" s="17" t="s">
        <v>261</v>
      </c>
      <c r="C77" s="142"/>
      <c r="D77" s="189">
        <v>1</v>
      </c>
      <c r="E77" s="10"/>
      <c r="F77" s="10"/>
      <c r="G77" s="51" t="s">
        <v>303</v>
      </c>
      <c r="H77" s="10"/>
      <c r="I77" s="10"/>
      <c r="J77" s="10"/>
      <c r="K77" s="10"/>
      <c r="L77" s="10"/>
      <c r="M77" s="10"/>
      <c r="N77" s="10"/>
      <c r="P77" s="83" t="s">
        <v>330</v>
      </c>
      <c r="Q77" s="10" t="s">
        <v>301</v>
      </c>
    </row>
    <row r="78" spans="1:17" ht="12.75">
      <c r="A78" s="10"/>
      <c r="B78" s="17" t="s">
        <v>262</v>
      </c>
      <c r="C78" s="17"/>
      <c r="D78" s="189">
        <v>1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P78" s="83" t="s">
        <v>331</v>
      </c>
      <c r="Q78" s="10" t="s">
        <v>329</v>
      </c>
    </row>
    <row r="79" spans="1:17" ht="12.75">
      <c r="A79" s="10"/>
      <c r="B79" s="17" t="s">
        <v>246</v>
      </c>
      <c r="C79" s="147"/>
      <c r="D79" s="156">
        <v>1.6</v>
      </c>
      <c r="E79" s="17" t="str">
        <f>IF($M$52&gt;$M$53,"(wind)","(seismic)")</f>
        <v>(wind)</v>
      </c>
      <c r="F79" s="10"/>
      <c r="G79" s="230" t="str">
        <f>CONCATENATE("Use ",C17," HF No. 2 pressure treated ",VLOOKUP(C17,AB7:AC10,2,FALSE)," at foundation.")</f>
        <v>Use (1)-2x HF No. 2 pressure treated plate at foundation.</v>
      </c>
      <c r="H79" s="231"/>
      <c r="I79" s="231"/>
      <c r="J79" s="232"/>
      <c r="K79" s="10"/>
      <c r="L79" s="10"/>
      <c r="M79" s="10"/>
      <c r="N79" s="10"/>
      <c r="P79" s="83" t="s">
        <v>332</v>
      </c>
      <c r="Q79" s="10" t="s">
        <v>302</v>
      </c>
    </row>
    <row r="80" spans="1:17" ht="12.75">
      <c r="A80" s="10"/>
      <c r="B80" s="17" t="s">
        <v>263</v>
      </c>
      <c r="C80" s="154"/>
      <c r="D80" s="156">
        <f>VLOOKUP(M61,P55:V68,5,FALSE)</f>
        <v>1.1</v>
      </c>
      <c r="E80" s="10"/>
      <c r="F80" s="10"/>
      <c r="G80" s="233"/>
      <c r="H80" s="234"/>
      <c r="I80" s="234"/>
      <c r="J80" s="235"/>
      <c r="K80" s="10"/>
      <c r="L80" s="10"/>
      <c r="M80" s="10"/>
      <c r="N80" s="10"/>
      <c r="P80" s="83" t="s">
        <v>346</v>
      </c>
      <c r="Q80" s="10" t="s">
        <v>336</v>
      </c>
    </row>
    <row r="81" spans="1:14" ht="12.75">
      <c r="A81" s="10"/>
      <c r="B81" s="142" t="s">
        <v>264</v>
      </c>
      <c r="C81" s="142"/>
      <c r="D81" s="145">
        <f>((G5*12)-4.5)/M62</f>
        <v>19.363636363636363</v>
      </c>
      <c r="E81" s="146"/>
      <c r="F81" s="10"/>
      <c r="G81" s="6" t="s">
        <v>333</v>
      </c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42" t="s">
        <v>265</v>
      </c>
      <c r="C82" s="142"/>
      <c r="D82" s="157">
        <f>M71*M72*M73*M74</f>
        <v>580000</v>
      </c>
      <c r="E82" s="146" t="s">
        <v>81</v>
      </c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42" t="s">
        <v>266</v>
      </c>
      <c r="C83" s="17"/>
      <c r="D83" s="152">
        <f>(0.822*D82)/D81^2</f>
        <v>1271.5281359518615</v>
      </c>
      <c r="E83" s="146" t="s">
        <v>81</v>
      </c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42" t="s">
        <v>267</v>
      </c>
      <c r="C84" s="17"/>
      <c r="D84" s="152">
        <f>D75*D80*D79*D78*D77*D76</f>
        <v>2376.0000000000005</v>
      </c>
      <c r="E84" s="146" t="s">
        <v>81</v>
      </c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42" t="s">
        <v>268</v>
      </c>
      <c r="C85" s="17"/>
      <c r="D85" s="190">
        <v>0.8</v>
      </c>
      <c r="E85" s="162" t="s">
        <v>269</v>
      </c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42" t="s">
        <v>270</v>
      </c>
      <c r="C86" s="17"/>
      <c r="D86" s="158">
        <f>D83/D84</f>
        <v>0.535154939373679</v>
      </c>
      <c r="E86" s="146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42" t="s">
        <v>271</v>
      </c>
      <c r="C87" s="17"/>
      <c r="D87" s="158">
        <f>(1+D86)/(2*D85)</f>
        <v>0.9594718371085493</v>
      </c>
      <c r="E87" s="146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42" t="s">
        <v>272</v>
      </c>
      <c r="C88" s="17"/>
      <c r="D88" s="158">
        <f>D87-SQRT(D87^2-(D86/D85))</f>
        <v>0.45783199420593856</v>
      </c>
      <c r="E88" s="146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2.75">
      <c r="A89" s="10"/>
      <c r="B89" s="142" t="s">
        <v>273</v>
      </c>
      <c r="C89" s="17"/>
      <c r="D89" s="152">
        <f>D84*D88</f>
        <v>1087.8088182333101</v>
      </c>
      <c r="E89" s="146" t="s">
        <v>81</v>
      </c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2.75">
      <c r="A90" s="10"/>
      <c r="B90" s="142" t="s">
        <v>274</v>
      </c>
      <c r="C90" s="17"/>
      <c r="D90" s="152">
        <f>M58/D57</f>
        <v>167.3560606060606</v>
      </c>
      <c r="E90" s="146" t="s">
        <v>81</v>
      </c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2.75">
      <c r="A91" s="10"/>
      <c r="B91" s="153" t="s">
        <v>276</v>
      </c>
      <c r="C91" s="154"/>
      <c r="D91" s="155">
        <f>D90/D89</f>
        <v>0.1538469424046961</v>
      </c>
      <c r="E91" s="164" t="str">
        <f>IF(D91&lt;=1,"OK","NG")</f>
        <v>OK</v>
      </c>
      <c r="F91" s="10"/>
      <c r="G91" s="10"/>
      <c r="H91" s="10"/>
      <c r="I91" s="6" t="str">
        <f>I47</f>
        <v>Rev. 1.9.2 - 07/20/2015</v>
      </c>
      <c r="J91" s="10"/>
      <c r="K91" s="10"/>
      <c r="L91" s="10"/>
      <c r="M91" s="10"/>
      <c r="N91" s="105" t="str">
        <f>N47</f>
        <v>Copyright © 2016 - Medeek Engineering Inc.</v>
      </c>
    </row>
    <row r="92" spans="1:7" ht="12.75">
      <c r="A92" s="10"/>
      <c r="F92" s="10"/>
      <c r="G92" s="10"/>
    </row>
    <row r="93" spans="1:7" ht="12.75">
      <c r="A93" s="10"/>
      <c r="B93" s="10"/>
      <c r="C93" s="10"/>
      <c r="D93" s="10"/>
      <c r="E93" s="10"/>
      <c r="F93" s="10"/>
      <c r="G93" s="10"/>
    </row>
    <row r="94" spans="1:7" ht="12.75">
      <c r="A94" s="10"/>
      <c r="B94" s="10"/>
      <c r="C94" s="10"/>
      <c r="D94" s="10"/>
      <c r="E94" s="10"/>
      <c r="F94" s="10"/>
      <c r="G94" s="10"/>
    </row>
    <row r="95" spans="1:7" ht="12.75">
      <c r="A95" s="10"/>
      <c r="B95" s="10"/>
      <c r="C95" s="10"/>
      <c r="D95" s="10"/>
      <c r="E95" s="10"/>
      <c r="F95" s="10"/>
      <c r="G95" s="10"/>
    </row>
    <row r="96" spans="1:7" ht="12.75">
      <c r="A96" s="10"/>
      <c r="B96" s="10"/>
      <c r="C96" s="10"/>
      <c r="D96" s="10"/>
      <c r="E96" s="10"/>
      <c r="F96" s="10"/>
      <c r="G96" s="10"/>
    </row>
    <row r="97" spans="1:7" ht="12.75">
      <c r="A97" s="10"/>
      <c r="B97" s="10"/>
      <c r="C97" s="10"/>
      <c r="D97" s="10"/>
      <c r="E97" s="10"/>
      <c r="F97" s="10"/>
      <c r="G97" s="10"/>
    </row>
    <row r="98" spans="1:7" ht="12.75">
      <c r="A98" s="10"/>
      <c r="B98" s="10"/>
      <c r="C98" s="10"/>
      <c r="D98" s="10"/>
      <c r="E98" s="10"/>
      <c r="F98" s="10"/>
      <c r="G98" s="10"/>
    </row>
    <row r="99" spans="1:7" ht="12.75">
      <c r="A99" s="10"/>
      <c r="B99" s="10"/>
      <c r="C99" s="10"/>
      <c r="D99" s="10"/>
      <c r="E99" s="10"/>
      <c r="F99" s="10"/>
      <c r="G99" s="10"/>
    </row>
    <row r="100" spans="1:7" ht="12.75">
      <c r="A100" s="10"/>
      <c r="B100" s="10"/>
      <c r="C100" s="10"/>
      <c r="D100" s="10"/>
      <c r="E100" s="10"/>
      <c r="F100" s="10"/>
      <c r="G100" s="10"/>
    </row>
    <row r="101" spans="1:7" ht="12.75">
      <c r="A101" s="10"/>
      <c r="B101" s="10"/>
      <c r="C101" s="10"/>
      <c r="D101" s="10"/>
      <c r="E101" s="10"/>
      <c r="F101" s="10"/>
      <c r="G101" s="10"/>
    </row>
  </sheetData>
  <sheetProtection/>
  <mergeCells count="7">
    <mergeCell ref="B11:J12"/>
    <mergeCell ref="G79:J80"/>
    <mergeCell ref="B15:K16"/>
    <mergeCell ref="G29:L30"/>
    <mergeCell ref="K20:N21"/>
    <mergeCell ref="B37:E38"/>
    <mergeCell ref="G74:J75"/>
  </mergeCells>
  <conditionalFormatting sqref="I8:I9">
    <cfRule type="containsText" priority="15" dxfId="14" operator="containsText" stopIfTrue="1" text="NG">
      <formula>NOT(ISERROR(SEARCH("NG",I8)))</formula>
    </cfRule>
  </conditionalFormatting>
  <conditionalFormatting sqref="N42">
    <cfRule type="containsText" priority="14" dxfId="14" operator="containsText" stopIfTrue="1" text="NG">
      <formula>NOT(ISERROR(SEARCH("NG",N42)))</formula>
    </cfRule>
  </conditionalFormatting>
  <conditionalFormatting sqref="N13">
    <cfRule type="containsText" priority="13" dxfId="14" operator="containsText" stopIfTrue="1" text="NG">
      <formula>NOT(ISERROR(SEARCH("NG",N13)))</formula>
    </cfRule>
  </conditionalFormatting>
  <conditionalFormatting sqref="D60">
    <cfRule type="cellIs" priority="11" dxfId="15" operator="greaterThan" stopIfTrue="1">
      <formula>1</formula>
    </cfRule>
    <cfRule type="cellIs" priority="12" dxfId="16" operator="lessThanOrEqual" stopIfTrue="1">
      <formula>1</formula>
    </cfRule>
  </conditionalFormatting>
  <conditionalFormatting sqref="D72">
    <cfRule type="cellIs" priority="9" dxfId="15" operator="greaterThan" stopIfTrue="1">
      <formula>1</formula>
    </cfRule>
    <cfRule type="cellIs" priority="10" dxfId="16" operator="lessThanOrEqual" stopIfTrue="1">
      <formula>1</formula>
    </cfRule>
  </conditionalFormatting>
  <conditionalFormatting sqref="D91">
    <cfRule type="cellIs" priority="7" dxfId="15" operator="greaterThan" stopIfTrue="1">
      <formula>1</formula>
    </cfRule>
    <cfRule type="cellIs" priority="8" dxfId="16" operator="lessThanOrEqual" stopIfTrue="1">
      <formula>1</formula>
    </cfRule>
  </conditionalFormatting>
  <conditionalFormatting sqref="H37">
    <cfRule type="cellIs" priority="6" dxfId="17" operator="equal" stopIfTrue="1">
      <formula>"NS"</formula>
    </cfRule>
  </conditionalFormatting>
  <conditionalFormatting sqref="F6 H6">
    <cfRule type="expression" priority="3" dxfId="18" stopIfTrue="1">
      <formula>$B$6&lt;&gt;"PERF"</formula>
    </cfRule>
    <cfRule type="expression" priority="4" dxfId="0" stopIfTrue="1">
      <formula>$B$6="PERF"</formula>
    </cfRule>
  </conditionalFormatting>
  <conditionalFormatting sqref="J6">
    <cfRule type="expression" priority="1" dxfId="18" stopIfTrue="1">
      <formula>$B$6&lt;&gt;"PERF"</formula>
    </cfRule>
    <cfRule type="expression" priority="2" dxfId="0" stopIfTrue="1">
      <formula>$B$6="PERF"</formula>
    </cfRule>
  </conditionalFormatting>
  <dataValidations count="11">
    <dataValidation type="list" allowBlank="1" showInputMessage="1" showErrorMessage="1" sqref="M8">
      <formula1>$T$22:$T$24</formula1>
    </dataValidation>
    <dataValidation type="list" allowBlank="1" showInputMessage="1" showErrorMessage="1" sqref="M9">
      <formula1>$V$22:$V$23</formula1>
    </dataValidation>
    <dataValidation type="list" allowBlank="1" showInputMessage="1" showErrorMessage="1" sqref="M10">
      <formula1>$X$22:$X$23</formula1>
    </dataValidation>
    <dataValidation type="list" allowBlank="1" showInputMessage="1" showErrorMessage="1" sqref="B30">
      <formula1>$Z$22:$Z$26</formula1>
    </dataValidation>
    <dataValidation type="list" allowBlank="1" showInputMessage="1" showErrorMessage="1" sqref="L5">
      <formula1>$AD$29:$AD$42</formula1>
    </dataValidation>
    <dataValidation type="list" allowBlank="1" showInputMessage="1" showErrorMessage="1" sqref="D51">
      <formula1>$Q$50:$R$50</formula1>
    </dataValidation>
    <dataValidation type="list" allowBlank="1" showInputMessage="1" showErrorMessage="1" sqref="M60">
      <formula1>$T$49:$T$51</formula1>
    </dataValidation>
    <dataValidation type="list" allowBlank="1" showInputMessage="1" showErrorMessage="1" sqref="C18">
      <formula1>$AE$5:$AE$9</formula1>
    </dataValidation>
    <dataValidation type="list" allowBlank="1" showInputMessage="1" showErrorMessage="1" sqref="C17">
      <formula1>$AB$7:$AB$10</formula1>
    </dataValidation>
    <dataValidation type="list" allowBlank="1" showInputMessage="1" showErrorMessage="1" sqref="I5">
      <formula1>$AG$30:$AG$40</formula1>
    </dataValidation>
    <dataValidation type="list" allowBlank="1" showInputMessage="1" showErrorMessage="1" sqref="B6">
      <formula1>$T$27:$T$29</formula1>
    </dataValidation>
  </dataValidations>
  <printOptions/>
  <pageMargins left="0.5" right="0.5" top="0.75" bottom="0.25" header="0" footer="0"/>
  <pageSetup horizontalDpi="600" verticalDpi="600" orientation="landscape" r:id="rId4"/>
  <ignoredErrors>
    <ignoredError sqref="B37" unlockedFormula="1"/>
  </ignoredErrors>
  <drawing r:id="rId3"/>
  <legacyDrawing r:id="rId2"/>
  <oleObjects>
    <oleObject progId="Equation.DSMT4" shapeId="259885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Medeek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P. Wilkerson</dc:creator>
  <cp:keywords/>
  <dc:description/>
  <cp:lastModifiedBy>NPW</cp:lastModifiedBy>
  <dcterms:created xsi:type="dcterms:W3CDTF">2014-12-19T17:04:55Z</dcterms:created>
  <dcterms:modified xsi:type="dcterms:W3CDTF">2016-07-21T00:42:16Z</dcterms:modified>
  <cp:category/>
  <cp:version/>
  <cp:contentType/>
  <cp:contentStatus/>
</cp:coreProperties>
</file>